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32" activeTab="6"/>
  </bookViews>
  <sheets>
    <sheet name="прил.4 нов без КОСГУ к бюжету" sheetId="1" r:id="rId1"/>
    <sheet name="ПРИЛ.5" sheetId="2" r:id="rId2"/>
    <sheet name="прил.1" sheetId="3" r:id="rId3"/>
    <sheet name="прил.2" sheetId="4" r:id="rId4"/>
    <sheet name="дох.3" sheetId="5" r:id="rId5"/>
    <sheet name="ведфункц" sheetId="6" state="hidden" r:id="rId6"/>
    <sheet name="Приложение 6" sheetId="7" r:id="rId7"/>
  </sheets>
  <definedNames>
    <definedName name="_xlnm.Print_Area" localSheetId="5">'ведфункц'!$A$1:$H$111</definedName>
  </definedNames>
  <calcPr fullCalcOnLoad="1"/>
</workbook>
</file>

<file path=xl/sharedStrings.xml><?xml version="1.0" encoding="utf-8"?>
<sst xmlns="http://schemas.openxmlformats.org/spreadsheetml/2006/main" count="2144" uniqueCount="498">
  <si>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</si>
  <si>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</si>
  <si>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</si>
  <si>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</si>
  <si>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</si>
  <si>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</si>
  <si>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</si>
  <si>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</si>
  <si>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</si>
  <si>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</si>
  <si>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</si>
  <si>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</si>
  <si>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</si>
  <si>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</si>
  <si>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</si>
  <si>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</si>
  <si>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</si>
  <si>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</si>
  <si>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</si>
  <si>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</si>
  <si>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</si>
  <si>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</si>
  <si>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</si>
  <si>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</si>
  <si>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</si>
  <si>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</si>
  <si>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</si>
  <si>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</si>
  <si>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</si>
  <si>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</si>
  <si>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</si>
  <si>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</si>
  <si>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</si>
  <si>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</si>
  <si>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</si>
  <si>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</si>
  <si>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</si>
  <si>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</si>
  <si>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</si>
  <si>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</si>
  <si>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</si>
  <si>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</si>
  <si>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</si>
  <si>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</si>
  <si>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</si>
  <si>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</si>
  <si>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</si>
  <si>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</si>
  <si>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</si>
  <si>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</si>
  <si>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</si>
  <si>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</si>
  <si>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</si>
  <si>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</si>
  <si>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</si>
  <si>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</si>
  <si>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</si>
  <si>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</si>
  <si>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</si>
  <si>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</si>
  <si>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</si>
  <si>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</si>
  <si>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</si>
  <si>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</si>
  <si>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</si>
  <si>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</si>
  <si>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</si>
  <si>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</si>
  <si>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</si>
  <si>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</si>
  <si>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</si>
  <si>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</si>
  <si>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</si>
  <si>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</si>
  <si>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</si>
  <si>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</si>
  <si>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</si>
  <si>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</si>
  <si>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</si>
  <si>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</si>
  <si>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</si>
  <si>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</si>
  <si>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</si>
  <si>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</si>
  <si>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</si>
  <si>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</si>
  <si>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</si>
  <si>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</si>
  <si>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</si>
  <si>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</si>
  <si>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</si>
  <si>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</si>
  <si>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</si>
  <si>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</si>
  <si>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</si>
  <si>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</si>
  <si>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</si>
  <si>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</si>
  <si>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</si>
  <si>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</si>
  <si>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</si>
  <si>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</si>
  <si>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</si>
  <si>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</si>
  <si>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</si>
  <si>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</si>
  <si>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</si>
  <si>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</si>
  <si>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</si>
  <si>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</si>
  <si>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</si>
  <si>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</si>
  <si>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</si>
  <si>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</si>
  <si>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</si>
  <si>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</si>
  <si>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</si>
  <si>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</si>
  <si>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</si>
  <si>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158 2 00 00000 00 0000 000</t>
  </si>
  <si>
    <t>158 2 02 00000 00 0000 000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</si>
  <si>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</si>
  <si>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</si>
  <si>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 xml:space="preserve"> ООО</t>
  </si>
  <si>
    <t>182 1 05 00000 00 0000 000</t>
  </si>
  <si>
    <t>Единый сельскохозяйственный налог</t>
  </si>
  <si>
    <t>00</t>
  </si>
  <si>
    <t>000 00 00</t>
  </si>
  <si>
    <t>000</t>
  </si>
  <si>
    <t>Пенсионное обеспечение</t>
  </si>
  <si>
    <t>01</t>
  </si>
  <si>
    <t>Доплаты к пенсии</t>
  </si>
  <si>
    <t>491 00 00</t>
  </si>
  <si>
    <t>200</t>
  </si>
  <si>
    <t>260</t>
  </si>
  <si>
    <t>Налоги на совокупный доход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</si>
  <si>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</si>
  <si>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</si>
  <si>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</si>
  <si>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</si>
  <si>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</si>
  <si>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</si>
  <si>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</si>
  <si>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</si>
  <si>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</si>
  <si>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</si>
  <si>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</si>
  <si>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</si>
  <si>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</si>
  <si>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</si>
  <si>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</si>
  <si>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014</t>
  </si>
  <si>
    <t>ФИЗИЧЕСКАЯ КУЛЬТУРА И СПОРТ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</si>
  <si>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</si>
  <si>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</si>
  <si>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</si>
  <si>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</si>
  <si>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</si>
  <si>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</si>
  <si>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</si>
  <si>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310</t>
  </si>
  <si>
    <t>312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</si>
  <si>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</si>
  <si>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</si>
  <si>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</si>
  <si>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</si>
  <si>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</si>
  <si>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</si>
  <si>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</si>
  <si>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</si>
  <si>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</si>
  <si>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</si>
  <si>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</si>
  <si>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</si>
  <si>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</si>
  <si>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</si>
  <si>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</si>
  <si>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</si>
  <si>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Пенсии,выплачиваемые организациями сектора государственного управления</t>
  </si>
  <si>
    <t>Фонд оплаты труда и страховые взносы</t>
  </si>
  <si>
    <t>158 01 05 02 00 00 0000 500</t>
  </si>
  <si>
    <t>158 01 05 02 00 10 0000 500</t>
  </si>
  <si>
    <t>158 01 05 02 01 10 0000 510</t>
  </si>
  <si>
    <t>158 01 05 00 00 00 0000 600</t>
  </si>
  <si>
    <t>158 01 05 02 00 10 0000 600</t>
  </si>
  <si>
    <t>158 01 05 02 01 10 0000 610</t>
  </si>
  <si>
    <t>Приложение 1</t>
  </si>
  <si>
    <t>Приложение 2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</si>
  <si>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</si>
  <si>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</si>
  <si>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05</t>
  </si>
  <si>
    <t>03</t>
  </si>
  <si>
    <t>09</t>
  </si>
  <si>
    <t>613 01 03</t>
  </si>
  <si>
    <t>244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</si>
  <si>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</si>
  <si>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</si>
  <si>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</si>
  <si>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</si>
  <si>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</si>
  <si>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</si>
  <si>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</si>
  <si>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>Поддержка дорожного хозяйства</t>
  </si>
  <si>
    <t xml:space="preserve"> Источники внутреннего финансирования</t>
  </si>
  <si>
    <t>14</t>
  </si>
  <si>
    <t>795 00 01</t>
  </si>
  <si>
    <t>015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</si>
  <si>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</si>
  <si>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</si>
  <si>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</si>
  <si>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</si>
  <si>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</si>
  <si>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</si>
  <si>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</si>
  <si>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</si>
  <si>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</si>
  <si>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</si>
  <si>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</si>
  <si>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</si>
  <si>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Приложение 5</t>
  </si>
  <si>
    <t xml:space="preserve">Главные администраторы доходов  бюджета поселения - органов государственной власти  МО "Олойское" 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</si>
  <si>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</si>
  <si>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</si>
  <si>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</si>
  <si>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</si>
  <si>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>Администрация муниципального образования "Олойское"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</si>
  <si>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</si>
  <si>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</si>
  <si>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</si>
  <si>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</si>
  <si>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</si>
  <si>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</si>
  <si>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 xml:space="preserve">1 13 02995 10 0000 130 </t>
  </si>
  <si>
    <t>Прочие доходы от компенсации затрат   бюджетов поселений</t>
  </si>
  <si>
    <t>158</t>
  </si>
  <si>
    <t>Финансовый отдел администрации муниципального образования "Олойское"</t>
  </si>
  <si>
    <t>Код главного распорядителя</t>
  </si>
  <si>
    <t>Наименование главного распорядителя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</si>
  <si>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</si>
  <si>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</si>
  <si>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</si>
  <si>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</si>
  <si>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</si>
  <si>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</si>
  <si>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</si>
  <si>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Дорожный фонд МО  "Олойское"</t>
  </si>
  <si>
    <t>Иные бюджетные ассигнования</t>
  </si>
  <si>
    <t>Проведение спортивных мероприятий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</si>
  <si>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</si>
  <si>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</si>
  <si>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</si>
  <si>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</si>
  <si>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</si>
  <si>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</si>
  <si>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</si>
  <si>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</si>
  <si>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</si>
  <si>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</si>
  <si>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</si>
  <si>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</si>
  <si>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МКУ КИЦ МО "ОЛОЙСКОЕ"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</si>
  <si>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</si>
  <si>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</si>
  <si>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</si>
  <si>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</si>
  <si>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</si>
  <si>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</si>
  <si>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</si>
  <si>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</si>
  <si>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</si>
  <si>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"ОЛОЙСКОЕ"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</si>
  <si>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</si>
  <si>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</si>
  <si>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</si>
  <si>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</si>
  <si>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</si>
  <si>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</si>
  <si>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</si>
  <si>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</si>
  <si>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</si>
  <si>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</si>
  <si>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</si>
  <si>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</si>
  <si>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</si>
  <si>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Массовый спорт</t>
  </si>
  <si>
    <t>Иные межбюджетные трансферты</t>
  </si>
  <si>
    <t>Расходы на выплаты по оплате труда персоналу казенных учреждений</t>
  </si>
  <si>
    <t>ОБЕСПЕЧЕНИЕ ДЕЯТЕЛЬНОСТИ ГРУППЫ ХОЗЯЙСТВЕННОГО ОБСЛУЖИВАНИЯ</t>
  </si>
  <si>
    <t>Расходы на выплаты персоналу  казенных учреждений</t>
  </si>
  <si>
    <t>91 1 00 00000</t>
  </si>
  <si>
    <t>91 1 11 00000</t>
  </si>
  <si>
    <t>91 1 11 90110</t>
  </si>
  <si>
    <t>91 1 12 00000</t>
  </si>
  <si>
    <t>91 1 12 90110</t>
  </si>
  <si>
    <t>91 1 12 90120</t>
  </si>
  <si>
    <t>91 1 13 00000</t>
  </si>
  <si>
    <t>91 1 13 90130</t>
  </si>
  <si>
    <t>91 2 00 00000</t>
  </si>
  <si>
    <t>91 2 06 73150</t>
  </si>
  <si>
    <t>91 2  00 00000</t>
  </si>
  <si>
    <t>91 2 02 51180</t>
  </si>
  <si>
    <t>91 3 14 90150</t>
  </si>
  <si>
    <t>91 4 04 90190</t>
  </si>
  <si>
    <t>91 4 05 90200</t>
  </si>
  <si>
    <t>91 4 06 90210</t>
  </si>
  <si>
    <t>91 0 00 00000</t>
  </si>
  <si>
    <t>91 6 08 00000</t>
  </si>
  <si>
    <t>91 6 08 90230</t>
  </si>
  <si>
    <t>91 8 09 00000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</si>
  <si>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</si>
  <si>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</si>
  <si>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</si>
  <si>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</si>
  <si>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</si>
  <si>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</si>
  <si>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91 7 11 90310</t>
  </si>
  <si>
    <t>91 7 11 90320</t>
  </si>
  <si>
    <t>91 7 12 00000</t>
  </si>
  <si>
    <t>91 7 12 90310</t>
  </si>
  <si>
    <t>0 0 00 00000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</si>
  <si>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</si>
  <si>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</si>
  <si>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</si>
  <si>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</si>
  <si>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</si>
  <si>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</si>
  <si>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</si>
  <si>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</si>
  <si>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</si>
  <si>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</si>
  <si>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</si>
  <si>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</si>
  <si>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</si>
  <si>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</si>
  <si>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</si>
  <si>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</si>
  <si>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</si>
  <si>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</si>
  <si>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1 17 01050 10 0000 180</t>
  </si>
  <si>
    <t>1 17 05050 10 0000 180</t>
  </si>
  <si>
    <t xml:space="preserve">1 11 05025 10 0000 120 </t>
  </si>
  <si>
    <t>91 8 1А 90280</t>
  </si>
  <si>
    <t>91 8 00 00000</t>
  </si>
  <si>
    <t>91 8 1В 90280</t>
  </si>
  <si>
    <t>12мес</t>
  </si>
  <si>
    <t>07</t>
  </si>
  <si>
    <t>91 1 14 90140</t>
  </si>
  <si>
    <t>прочие расходы</t>
  </si>
  <si>
    <t>91 4 04 90180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</si>
  <si>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</si>
  <si>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</si>
  <si>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</si>
  <si>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91 9 13 90270</t>
  </si>
  <si>
    <t>91 10 07 90220</t>
  </si>
  <si>
    <t>НАЦИОНАЛЬНАЯ БЕЗОПАСНОСТЬ И ПРАВООХРАНИТЕЛЬНАЯ ДЕЯТЕЛЬНОСТЬ</t>
  </si>
  <si>
    <t>10 мес.-2018</t>
  </si>
  <si>
    <t>10 мес-2018</t>
  </si>
  <si>
    <t>8мес-2019,2020</t>
  </si>
  <si>
    <t>ФОТ</t>
  </si>
  <si>
    <t>9мес.-2019 8мес-2020</t>
  </si>
  <si>
    <t>1821 03 00000 00 0000 000</t>
  </si>
  <si>
    <t>000 1 16 90050 10 0000 140</t>
  </si>
  <si>
    <t>Прочие поступления от денежных взысканий (штрафов) и иных сумм</t>
  </si>
  <si>
    <t>Увеличение стоимости матер.запасов</t>
  </si>
  <si>
    <t>Коммунальное хозяйство</t>
  </si>
  <si>
    <t>Прочие мероприятия в области коммунального хозяйства</t>
  </si>
  <si>
    <t>914 01 90290</t>
  </si>
  <si>
    <t>158 2 02 01001 00 0000 150</t>
  </si>
  <si>
    <t>158 2 02 02000 00 0000 150</t>
  </si>
  <si>
    <t>158 2 02 29999 10 0000 150</t>
  </si>
  <si>
    <t>158 2 02 030000 00 0000 150</t>
  </si>
  <si>
    <t>158 2 02 03015 00 0000 150</t>
  </si>
  <si>
    <t>158 2 02 03015 10 0000 150</t>
  </si>
  <si>
    <t>158 2 02 30024 10 0000 150</t>
  </si>
  <si>
    <t>158 2 02 30024 00 0000 150</t>
  </si>
  <si>
    <t>2 02 15001 10 0000 150</t>
  </si>
  <si>
    <t>2 02 15002 10 0000 150</t>
  </si>
  <si>
    <t>2 02 29999 10 0000 150</t>
  </si>
  <si>
    <t>2 02 35118 10 0000 150</t>
  </si>
  <si>
    <t xml:space="preserve"> 2 02 30024 10 0000 150</t>
  </si>
  <si>
    <t>2 02 49999 10 0000 150</t>
  </si>
  <si>
    <t>014 1 11 05025 10 0000 120</t>
  </si>
  <si>
    <t>014 1 14 06025 10 0000 430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</si>
  <si>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</si>
  <si>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2 08 05000 10 0000 150</t>
  </si>
  <si>
    <t xml:space="preserve"> 1 14 06025 10 0000 430</t>
  </si>
  <si>
    <t>182 1 03 02231 01 0000 110</t>
  </si>
  <si>
    <t>182 1 03 02241 01 0000 110</t>
  </si>
  <si>
    <t>182 1 03 02251 01 0000 110</t>
  </si>
  <si>
    <t>182 1 03 02261 01 0000 110</t>
  </si>
  <si>
    <t>Закупка товаров,работ и услуг для государственных услуг в области геодезии</t>
  </si>
  <si>
    <t>2022 год</t>
  </si>
  <si>
    <t>Заработная плата муниципальных служащих</t>
  </si>
  <si>
    <t>Заработная плата вспом и тех персонал</t>
  </si>
  <si>
    <t>Начисления на оплату труда мун служ</t>
  </si>
  <si>
    <t>Начисления на оплату труда вспом и тех персонал</t>
  </si>
  <si>
    <t>Премии и гранты.Прочие расходы(медали,кубки)</t>
  </si>
  <si>
    <t>Объем заимствований, всего</t>
  </si>
  <si>
    <t>в том числе:</t>
  </si>
  <si>
    <t>Объем привлечения в 2022 году</t>
  </si>
  <si>
    <t>Объем погашения в 2022 году</t>
  </si>
  <si>
    <t>2023 год</t>
  </si>
  <si>
    <t>Объем привлечения в 2023 году</t>
  </si>
  <si>
    <t>Объем погашения в 2023 году</t>
  </si>
  <si>
    <t>91 5 05 90230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</si>
  <si>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</si>
  <si>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</si>
  <si>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Код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</si>
  <si>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</si>
  <si>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</si>
  <si>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</si>
  <si>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Привлечение  кредитов от кредитных организаций в валюте Российской Федерации</t>
  </si>
  <si>
    <t>000 01 02 00 00 00 0000 700</t>
  </si>
  <si>
    <t>Привлечение  кредитов от кредитных организаций бюджетами сельских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</si>
  <si>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</si>
  <si>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</si>
  <si>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000 01 02 00 00 00 0000 810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</si>
  <si>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</si>
  <si>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</si>
  <si>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</si>
  <si>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</si>
  <si>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</si>
  <si>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</si>
  <si>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</si>
  <si>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</si>
  <si>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</si>
  <si>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</si>
  <si>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</si>
  <si>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</si>
  <si>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</si>
  <si>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</si>
  <si>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</si>
  <si>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</si>
  <si>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</si>
  <si>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</si>
  <si>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</si>
  <si>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</si>
  <si>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</si>
  <si>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</si>
  <si>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</si>
  <si>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</si>
  <si>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</si>
  <si>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</si>
  <si>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сельских поселений </t>
  </si>
  <si>
    <t>000 01 05 02 01 10 0000 610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</si>
  <si>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</si>
  <si>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</si>
  <si>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</si>
  <si>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</si>
  <si>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</si>
  <si>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</si>
  <si>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</si>
  <si>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</si>
  <si>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</si>
  <si>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кредитов,предоставленных  кредитными организациями в валюте Российской Федерации</t>
  </si>
  <si>
    <t>Погашение бюджетами сельских поселений кредитов,предоставленных  кредитными организациями в валюте Российской Федерации</t>
  </si>
  <si>
    <t>Ведомственная стуктура расходов бюджета муниципального образования "Олойское" на 2022 год и плановый период 2023-2024 гг.</t>
  </si>
  <si>
    <t xml:space="preserve">            дефицита  бюджета муниципального образования "Олойское"  на 2022 год и плановый период 2023-2024 гг.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</si>
  <si>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"Олойское"                                                                                                                                на 2022 год и плановый период на 2023-2024г.»</t>
  </si>
  <si>
    <t xml:space="preserve">Поступление в бюджет муниципального образования "Олойское" на 2022 год и плановый период 2023-2024гг. </t>
  </si>
  <si>
    <t>Объем привлечения в 2024 году</t>
  </si>
  <si>
    <t>Объем погашения в 2024 году</t>
  </si>
  <si>
    <t xml:space="preserve"> 2022 ГОД</t>
  </si>
  <si>
    <t>2024 год</t>
  </si>
  <si>
    <t>Закупка энергетических ресурсов</t>
  </si>
  <si>
    <t>Виды долговых обязательств</t>
  </si>
  <si>
    <t>Верхний предел муниципального долга на 01.01.2022 года</t>
  </si>
  <si>
    <t>Верхний предел муниципального долга на 01.01.2023 года</t>
  </si>
  <si>
    <t>Верхний предел муниципального долга на 01.01.2024 года</t>
  </si>
  <si>
    <t>Верхний предел муниципального долга на 01.01.2025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</si>
  <si>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</si>
  <si>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</si>
  <si>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</si>
  <si>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</si>
  <si>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</si>
  <si>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ПРОГРАММА МУНИЦИПАЛЬНЫХ ВНУТРЕННИХ ЗАИМСТВОВАНИЙ МУНИЦИПАЛЬНОГО ОБРАЗОВАНИЯ "ОЛОЙСКОЕ"
 НА 2022 ГОД И НА ПЛАНОВЫЙ ПЕРИОД 2023 И 2024 ГОДОВ</t>
  </si>
  <si>
    <t>до 2 лет</t>
  </si>
  <si>
    <t>Приложение 6</t>
  </si>
  <si>
    <t>( рублей)</t>
  </si>
  <si>
    <t>79 3 03 90160</t>
  </si>
  <si>
    <t>91 5 00 00000</t>
  </si>
  <si>
    <t>91 5 14 90150</t>
  </si>
  <si>
    <t>91 5 13 00000</t>
  </si>
  <si>
    <t>91 5 13 90140</t>
  </si>
  <si>
    <t>915 01 00000</t>
  </si>
  <si>
    <t>915 01 90150</t>
  </si>
  <si>
    <t>91 5 02 00000</t>
  </si>
  <si>
    <t>91 5 02 90170</t>
  </si>
  <si>
    <t>Мероприятия в рамках перечня народных инициатив</t>
  </si>
  <si>
    <t>91 5 02 S2370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</si>
  <si>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</si>
  <si>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1 16 10123 01 0101 140</t>
  </si>
  <si>
    <t>158 2 02 16001 10 0000 150</t>
  </si>
  <si>
    <t>Дотация на выравнивание бюджетной обеспеченности за счет субвенции</t>
  </si>
  <si>
    <t>2 02 16001 10 0000 150</t>
  </si>
  <si>
    <t>Дотации на выравнивание  бюджетной обеспеченности поселений из бюджета муниципального района</t>
  </si>
  <si>
    <t>Муниципальная целевая программа "Обеспечение пожарной безопасности в границах муниципального образования "Олойское"" на 2022-2024гг.</t>
  </si>
  <si>
    <t>к Решению Думы №01 от 28.02.2022г. "О внесении изменений в Решение Думы от 30.12.2021г. №20 "О бюджете муниципального образования «Олойское » на 2022 год  и плановый период 2023 - 2024 гг.""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</si>
</sst>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&quot;р.&quot;"/>
    <numFmt numFmtId="183" formatCode="0.0000"/>
    <numFmt numFmtId="184" formatCode="#,##0.0"/>
    <numFmt numFmtId="185" formatCode="#,##0.000"/>
    <numFmt numFmtId="186" formatCode="#,##0.0000"/>
    <numFmt numFmtId="187" formatCode="0.00000"/>
  </numFmts>
  <fonts count="6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i/>
      <sz val="10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sz val="12"/>
      <color indexed="10"/>
      <name val="Times New Roman"/>
      <family val="1"/>
    </font>
    <font>
      <b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2"/>
      <color rgb="FFFF0000"/>
      <name val="Times New Roman"/>
      <family val="1"/>
    </font>
    <font>
      <b/>
      <sz val="10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4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4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4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8" xfId="0" applyFont="1" applyBorder="1" applyAlignment="1">
      <alignment horizontal="left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 wrapText="1"/>
    </xf>
    <xf numFmtId="0" fontId="18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5" xfId="0" applyFont="1" applyBorder="1" applyAlignment="1">
      <alignment horizontal="left" wrapText="1"/>
    </xf>
    <xf numFmtId="0" fontId="14" fillId="0" borderId="2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wrapText="1"/>
    </xf>
    <xf numFmtId="0" fontId="13" fillId="0" borderId="34" xfId="0" applyFont="1" applyBorder="1" applyAlignment="1">
      <alignment horizontal="center" wrapText="1"/>
    </xf>
    <xf numFmtId="1" fontId="13" fillId="0" borderId="29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 wrapText="1"/>
    </xf>
    <xf numFmtId="1" fontId="14" fillId="0" borderId="26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28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3" fontId="13" fillId="0" borderId="11" xfId="53" applyNumberFormat="1" applyFont="1" applyFill="1" applyBorder="1" applyAlignment="1" applyProtection="1">
      <alignment horizontal="center" vertical="center" wrapText="1"/>
      <protection/>
    </xf>
    <xf numFmtId="3" fontId="14" fillId="0" borderId="39" xfId="53" applyNumberFormat="1" applyFont="1" applyFill="1" applyBorder="1" applyAlignment="1" applyProtection="1">
      <alignment horizontal="center" vertical="center" wrapText="1"/>
      <protection/>
    </xf>
    <xf numFmtId="3" fontId="14" fillId="0" borderId="40" xfId="53" applyNumberFormat="1" applyFont="1" applyFill="1" applyBorder="1" applyAlignment="1" applyProtection="1">
      <alignment horizontal="center" vertical="center" wrapText="1"/>
      <protection/>
    </xf>
    <xf numFmtId="3" fontId="14" fillId="0" borderId="41" xfId="53" applyNumberFormat="1" applyFont="1" applyFill="1" applyBorder="1" applyAlignment="1" applyProtection="1">
      <alignment horizontal="center" vertical="center" wrapText="1"/>
      <protection/>
    </xf>
    <xf numFmtId="3" fontId="13" fillId="0" borderId="28" xfId="53" applyNumberFormat="1" applyFont="1" applyFill="1" applyBorder="1" applyAlignment="1" applyProtection="1">
      <alignment horizontal="left" vertical="center" wrapText="1"/>
      <protection locked="0"/>
    </xf>
    <xf numFmtId="3" fontId="14" fillId="0" borderId="28" xfId="53" applyNumberFormat="1" applyFont="1" applyFill="1" applyBorder="1" applyAlignment="1" applyProtection="1">
      <alignment horizontal="left" vertical="center" wrapText="1" indent="1"/>
      <protection locked="0"/>
    </xf>
    <xf numFmtId="3" fontId="14" fillId="0" borderId="22" xfId="53" applyNumberFormat="1" applyFont="1" applyFill="1" applyBorder="1" applyAlignment="1" applyProtection="1">
      <alignment horizontal="left" vertical="center" wrapText="1" indent="3"/>
      <protection locked="0"/>
    </xf>
    <xf numFmtId="3" fontId="14" fillId="0" borderId="28" xfId="53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0" xfId="0" applyNumberFormat="1" applyAlignment="1">
      <alignment vertical="center" wrapText="1"/>
    </xf>
    <xf numFmtId="0" fontId="13" fillId="33" borderId="22" xfId="0" applyFont="1" applyFill="1" applyBorder="1" applyAlignment="1">
      <alignment horizontal="center" wrapText="1"/>
    </xf>
    <xf numFmtId="0" fontId="13" fillId="33" borderId="26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13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1" fontId="14" fillId="34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 wrapText="1"/>
    </xf>
    <xf numFmtId="1" fontId="13" fillId="34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64" fillId="0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49" fontId="65" fillId="33" borderId="1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 wrapText="1"/>
    </xf>
    <xf numFmtId="1" fontId="20" fillId="34" borderId="15" xfId="0" applyNumberFormat="1" applyFont="1" applyFill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2" fontId="14" fillId="0" borderId="25" xfId="0" applyNumberFormat="1" applyFont="1" applyBorder="1" applyAlignment="1">
      <alignment horizontal="center"/>
    </xf>
    <xf numFmtId="2" fontId="14" fillId="33" borderId="15" xfId="0" applyNumberFormat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66" fillId="35" borderId="15" xfId="0" applyFont="1" applyFill="1" applyBorder="1" applyAlignment="1">
      <alignment horizontal="left" vertical="center" wrapText="1"/>
    </xf>
    <xf numFmtId="0" fontId="6" fillId="0" borderId="15" xfId="53" applyFont="1" applyFill="1" applyBorder="1" applyAlignment="1">
      <alignment vertical="center" wrapText="1"/>
      <protection/>
    </xf>
    <xf numFmtId="1" fontId="13" fillId="33" borderId="22" xfId="0" applyNumberFormat="1" applyFont="1" applyFill="1" applyBorder="1" applyAlignment="1">
      <alignment horizontal="center"/>
    </xf>
    <xf numFmtId="1" fontId="13" fillId="33" borderId="26" xfId="0" applyNumberFormat="1" applyFont="1" applyFill="1" applyBorder="1" applyAlignment="1">
      <alignment horizontal="center"/>
    </xf>
    <xf numFmtId="1" fontId="13" fillId="33" borderId="2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3" fontId="10" fillId="0" borderId="15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10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wrapText="1"/>
    </xf>
    <xf numFmtId="3" fontId="6" fillId="0" borderId="15" xfId="0" applyNumberFormat="1" applyFont="1" applyFill="1" applyBorder="1" applyAlignment="1">
      <alignment/>
    </xf>
    <xf numFmtId="0" fontId="6" fillId="0" borderId="15" xfId="0" applyFont="1" applyBorder="1" applyAlignment="1">
      <alignment horizontal="justify" vertical="top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wrapText="1"/>
    </xf>
    <xf numFmtId="0" fontId="16" fillId="0" borderId="15" xfId="0" applyFont="1" applyBorder="1" applyAlignment="1">
      <alignment wrapText="1"/>
    </xf>
    <xf numFmtId="0" fontId="24" fillId="0" borderId="0" xfId="54" applyFont="1" applyAlignment="1">
      <alignment horizontal="center" wrapText="1"/>
      <protection/>
    </xf>
    <xf numFmtId="0" fontId="24" fillId="0" borderId="0" xfId="54" applyFont="1">
      <alignment/>
      <protection/>
    </xf>
    <xf numFmtId="0" fontId="24" fillId="0" borderId="0" xfId="54" applyFont="1" applyAlignment="1">
      <alignment horizontal="right" vertical="center"/>
      <protection/>
    </xf>
    <xf numFmtId="0" fontId="23" fillId="0" borderId="11" xfId="54" applyFont="1" applyBorder="1" applyAlignment="1">
      <alignment horizontal="center" vertical="top" wrapText="1"/>
      <protection/>
    </xf>
    <xf numFmtId="0" fontId="23" fillId="33" borderId="15" xfId="0" applyFont="1" applyFill="1" applyBorder="1" applyAlignment="1">
      <alignment horizontal="left" vertical="center" wrapText="1" indent="1"/>
    </xf>
    <xf numFmtId="0" fontId="24" fillId="33" borderId="15" xfId="0" applyFont="1" applyFill="1" applyBorder="1" applyAlignment="1">
      <alignment horizontal="left" vertical="center" wrapText="1" indent="1"/>
    </xf>
    <xf numFmtId="0" fontId="23" fillId="33" borderId="15" xfId="54" applyFont="1" applyFill="1" applyBorder="1" applyAlignment="1">
      <alignment horizontal="left" vertical="center" wrapText="1" indent="1"/>
      <protection/>
    </xf>
    <xf numFmtId="0" fontId="23" fillId="33" borderId="15" xfId="54" applyFont="1" applyFill="1" applyBorder="1" applyAlignment="1">
      <alignment horizontal="right" vertical="center" wrapText="1" indent="1"/>
      <protection/>
    </xf>
    <xf numFmtId="0" fontId="24" fillId="33" borderId="15" xfId="54" applyFont="1" applyFill="1" applyBorder="1" applyAlignment="1">
      <alignment horizontal="right" vertical="center" wrapText="1" indent="1"/>
      <protection/>
    </xf>
    <xf numFmtId="0" fontId="24" fillId="33" borderId="15" xfId="54" applyFont="1" applyFill="1" applyBorder="1" applyAlignment="1">
      <alignment horizontal="left" vertical="center" wrapText="1" indent="1"/>
      <protection/>
    </xf>
    <xf numFmtId="0" fontId="23" fillId="33" borderId="15" xfId="0" applyFont="1" applyFill="1" applyBorder="1" applyAlignment="1">
      <alignment horizontal="right" vertical="center" wrapText="1" indent="1"/>
    </xf>
    <xf numFmtId="0" fontId="24" fillId="33" borderId="15" xfId="0" applyFont="1" applyFill="1" applyBorder="1" applyAlignment="1">
      <alignment horizontal="right" vertical="center" wrapText="1" indent="1"/>
    </xf>
    <xf numFmtId="184" fontId="24" fillId="33" borderId="15" xfId="0" applyNumberFormat="1" applyFont="1" applyFill="1" applyBorder="1" applyAlignment="1">
      <alignment horizontal="right" vertical="center" wrapText="1" indent="1"/>
    </xf>
    <xf numFmtId="3" fontId="23" fillId="33" borderId="15" xfId="0" applyNumberFormat="1" applyFont="1" applyFill="1" applyBorder="1" applyAlignment="1">
      <alignment horizontal="right" vertical="center" wrapText="1" indent="1"/>
    </xf>
    <xf numFmtId="3" fontId="67" fillId="33" borderId="15" xfId="0" applyNumberFormat="1" applyFont="1" applyFill="1" applyBorder="1" applyAlignment="1">
      <alignment horizontal="right" vertical="center" wrapText="1" indent="1"/>
    </xf>
    <xf numFmtId="184" fontId="24" fillId="33" borderId="15" xfId="54" applyNumberFormat="1" applyFont="1" applyFill="1" applyBorder="1" applyAlignment="1">
      <alignment horizontal="right" vertical="center" wrapText="1" indent="1"/>
      <protection/>
    </xf>
    <xf numFmtId="184" fontId="24" fillId="33" borderId="15" xfId="0" applyNumberFormat="1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1" fontId="24" fillId="33" borderId="15" xfId="0" applyNumberFormat="1" applyFont="1" applyFill="1" applyBorder="1" applyAlignment="1">
      <alignment horizontal="right" vertical="center" wrapText="1" indent="1"/>
    </xf>
    <xf numFmtId="1" fontId="24" fillId="33" borderId="15" xfId="54" applyNumberFormat="1" applyFont="1" applyFill="1" applyBorder="1" applyAlignment="1">
      <alignment horizontal="right" vertical="center" wrapText="1" indent="1"/>
      <protection/>
    </xf>
    <xf numFmtId="1" fontId="23" fillId="33" borderId="15" xfId="54" applyNumberFormat="1" applyFont="1" applyFill="1" applyBorder="1" applyAlignment="1">
      <alignment horizontal="right" vertical="center" wrapText="1" indent="1"/>
      <protection/>
    </xf>
    <xf numFmtId="1" fontId="23" fillId="33" borderId="15" xfId="0" applyNumberFormat="1" applyFont="1" applyFill="1" applyBorder="1" applyAlignment="1">
      <alignment horizontal="right" vertical="center" wrapText="1" indent="1"/>
    </xf>
    <xf numFmtId="2" fontId="13" fillId="0" borderId="29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51" xfId="0" applyFont="1" applyBorder="1" applyAlignment="1">
      <alignment/>
    </xf>
    <xf numFmtId="0" fontId="13" fillId="0" borderId="3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3" fillId="0" borderId="0" xfId="54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3"/>
  <sheetViews>
    <sheetView zoomScalePageLayoutView="0" workbookViewId="0" topLeftCell="A1">
      <selection activeCell="I216" sqref="I216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4.75390625" style="0" customWidth="1"/>
    <col min="13" max="13" width="11.125" style="0" bestFit="1" customWidth="1"/>
    <col min="14" max="14" width="12.375" style="0" customWidth="1"/>
  </cols>
  <sheetData>
    <row r="2" spans="5:11" ht="12.75">
      <c r="E2" s="251" t="s">
        <v>240</v>
      </c>
      <c r="F2" s="251"/>
      <c r="G2" s="251"/>
      <c r="H2" s="251"/>
      <c r="I2" s="251"/>
      <c r="J2" s="252"/>
      <c r="K2" s="252"/>
    </row>
    <row r="3" spans="1:11" ht="39.75" customHeight="1">
      <c r="A3" s="42"/>
      <c r="B3" s="42"/>
      <c r="C3" s="42"/>
      <c r="D3" s="42"/>
      <c r="E3" s="42"/>
      <c r="F3" s="264" t="s">
        <v>497</v>
      </c>
      <c r="G3" s="264"/>
      <c r="H3" s="264"/>
      <c r="I3" s="264"/>
      <c r="J3" s="264"/>
      <c r="K3" s="264"/>
    </row>
    <row r="4" spans="1:11" ht="14.25">
      <c r="A4" s="265" t="s">
        <v>456</v>
      </c>
      <c r="B4" s="265"/>
      <c r="C4" s="265"/>
      <c r="D4" s="265"/>
      <c r="E4" s="265"/>
      <c r="F4" s="265"/>
      <c r="G4" s="265"/>
      <c r="H4" s="265"/>
      <c r="I4" s="265"/>
      <c r="J4" s="252"/>
      <c r="K4" s="252"/>
    </row>
    <row r="5" spans="1:11" ht="15">
      <c r="A5" s="41"/>
      <c r="B5" s="41"/>
      <c r="C5" s="41"/>
      <c r="D5" s="41"/>
      <c r="E5" s="41"/>
      <c r="F5" s="41"/>
      <c r="G5" s="41"/>
      <c r="H5" s="41"/>
      <c r="K5" s="56" t="s">
        <v>112</v>
      </c>
    </row>
    <row r="6" spans="1:11" ht="15.75" customHeight="1">
      <c r="A6" s="254" t="s">
        <v>31</v>
      </c>
      <c r="B6" s="256" t="s">
        <v>30</v>
      </c>
      <c r="C6" s="257"/>
      <c r="D6" s="257"/>
      <c r="E6" s="257"/>
      <c r="F6" s="258"/>
      <c r="G6" s="259"/>
      <c r="H6" s="260" t="s">
        <v>65</v>
      </c>
      <c r="I6" s="262" t="s">
        <v>391</v>
      </c>
      <c r="J6" s="253" t="s">
        <v>325</v>
      </c>
      <c r="K6" s="253"/>
    </row>
    <row r="7" spans="1:11" ht="45" customHeight="1">
      <c r="A7" s="255"/>
      <c r="B7" s="59" t="s">
        <v>32</v>
      </c>
      <c r="C7" s="60" t="s">
        <v>33</v>
      </c>
      <c r="D7" s="60" t="s">
        <v>34</v>
      </c>
      <c r="E7" s="58" t="s">
        <v>35</v>
      </c>
      <c r="F7" s="62" t="s">
        <v>258</v>
      </c>
      <c r="G7" s="61" t="s">
        <v>36</v>
      </c>
      <c r="H7" s="261"/>
      <c r="I7" s="263"/>
      <c r="J7" s="63" t="s">
        <v>401</v>
      </c>
      <c r="K7" s="63" t="s">
        <v>463</v>
      </c>
    </row>
    <row r="8" spans="1:13" ht="27">
      <c r="A8" s="146" t="s">
        <v>270</v>
      </c>
      <c r="B8" s="147" t="s">
        <v>108</v>
      </c>
      <c r="C8" s="147"/>
      <c r="D8" s="147"/>
      <c r="E8" s="147"/>
      <c r="F8" s="147"/>
      <c r="G8" s="148"/>
      <c r="H8" s="147"/>
      <c r="I8" s="153">
        <f>I9+I63+I80+I90+I108+I143+I149+I160+I159</f>
        <v>9952389.013333334</v>
      </c>
      <c r="J8" s="153">
        <f>J9+J63+J80+J90+J108+J143+J149+J160+J159</f>
        <v>8307122</v>
      </c>
      <c r="K8" s="153">
        <f>K9+K63+K80+K90+K108+K143+K149+K160+K159</f>
        <v>8245549</v>
      </c>
      <c r="L8" s="40"/>
      <c r="M8" s="57"/>
    </row>
    <row r="9" spans="1:11" ht="13.5">
      <c r="A9" s="146" t="s">
        <v>0</v>
      </c>
      <c r="B9" s="149" t="s">
        <v>108</v>
      </c>
      <c r="C9" s="149" t="s">
        <v>1</v>
      </c>
      <c r="D9" s="149" t="s">
        <v>2</v>
      </c>
      <c r="E9" s="149" t="s">
        <v>3</v>
      </c>
      <c r="F9" s="149" t="s">
        <v>319</v>
      </c>
      <c r="G9" s="150"/>
      <c r="H9" s="149" t="s">
        <v>4</v>
      </c>
      <c r="I9" s="151">
        <f>I57+I10+I18+I52</f>
        <v>5007408.123333333</v>
      </c>
      <c r="J9" s="151">
        <f>J57+J10+J18+J52</f>
        <v>4907677</v>
      </c>
      <c r="K9" s="151">
        <f>K57+K10+K18+K52</f>
        <v>4738549</v>
      </c>
    </row>
    <row r="10" spans="1:11" ht="54">
      <c r="A10" s="146" t="s">
        <v>269</v>
      </c>
      <c r="B10" s="149" t="s">
        <v>108</v>
      </c>
      <c r="C10" s="149" t="s">
        <v>1</v>
      </c>
      <c r="D10" s="149" t="s">
        <v>39</v>
      </c>
      <c r="E10" s="149" t="s">
        <v>3</v>
      </c>
      <c r="F10" s="149" t="s">
        <v>289</v>
      </c>
      <c r="G10" s="152"/>
      <c r="H10" s="152" t="s">
        <v>4</v>
      </c>
      <c r="I10" s="153">
        <f>I11</f>
        <v>1229913.47</v>
      </c>
      <c r="J10" s="153">
        <f>J11</f>
        <v>1229913</v>
      </c>
      <c r="K10" s="153">
        <f>K11</f>
        <v>1229913</v>
      </c>
    </row>
    <row r="11" spans="1:11" ht="12.75" customHeight="1">
      <c r="A11" s="154" t="s">
        <v>84</v>
      </c>
      <c r="B11" s="147" t="s">
        <v>108</v>
      </c>
      <c r="C11" s="147" t="s">
        <v>1</v>
      </c>
      <c r="D11" s="147" t="s">
        <v>39</v>
      </c>
      <c r="E11" s="147" t="s">
        <v>85</v>
      </c>
      <c r="F11" s="147" t="s">
        <v>290</v>
      </c>
      <c r="G11" s="147"/>
      <c r="H11" s="147" t="s">
        <v>4</v>
      </c>
      <c r="I11" s="155">
        <f>SUM(I13)</f>
        <v>1229913.47</v>
      </c>
      <c r="J11" s="155">
        <f>SUM(J13)</f>
        <v>1229913</v>
      </c>
      <c r="K11" s="155">
        <f>SUM(K13)</f>
        <v>1229913</v>
      </c>
    </row>
    <row r="12" spans="1:11" ht="27.75" customHeight="1">
      <c r="A12" s="154" t="s">
        <v>243</v>
      </c>
      <c r="B12" s="147" t="s">
        <v>108</v>
      </c>
      <c r="C12" s="147" t="s">
        <v>1</v>
      </c>
      <c r="D12" s="147" t="s">
        <v>39</v>
      </c>
      <c r="E12" s="147" t="s">
        <v>85</v>
      </c>
      <c r="F12" s="147" t="s">
        <v>291</v>
      </c>
      <c r="G12" s="156"/>
      <c r="H12" s="147" t="s">
        <v>4</v>
      </c>
      <c r="I12" s="155">
        <f>I13</f>
        <v>1229913.47</v>
      </c>
      <c r="J12" s="155">
        <f>J13</f>
        <v>1229913</v>
      </c>
      <c r="K12" s="155">
        <f>K13</f>
        <v>1229913</v>
      </c>
    </row>
    <row r="13" spans="1:11" ht="108">
      <c r="A13" s="154" t="s">
        <v>276</v>
      </c>
      <c r="B13" s="147" t="s">
        <v>108</v>
      </c>
      <c r="C13" s="147" t="s">
        <v>1</v>
      </c>
      <c r="D13" s="147" t="s">
        <v>39</v>
      </c>
      <c r="E13" s="147" t="s">
        <v>85</v>
      </c>
      <c r="F13" s="147" t="s">
        <v>291</v>
      </c>
      <c r="G13" s="156"/>
      <c r="H13" s="147" t="s">
        <v>4</v>
      </c>
      <c r="I13" s="155">
        <f>I15</f>
        <v>1229913.47</v>
      </c>
      <c r="J13" s="155">
        <f>J15</f>
        <v>1229913</v>
      </c>
      <c r="K13" s="155">
        <f>K15</f>
        <v>1229913</v>
      </c>
    </row>
    <row r="14" spans="1:11" ht="34.5" customHeight="1">
      <c r="A14" s="154" t="s">
        <v>277</v>
      </c>
      <c r="B14" s="147" t="s">
        <v>108</v>
      </c>
      <c r="C14" s="147" t="s">
        <v>1</v>
      </c>
      <c r="D14" s="147" t="s">
        <v>39</v>
      </c>
      <c r="E14" s="147" t="s">
        <v>85</v>
      </c>
      <c r="F14" s="147" t="s">
        <v>291</v>
      </c>
      <c r="G14" s="156" t="s">
        <v>281</v>
      </c>
      <c r="H14" s="147"/>
      <c r="I14" s="155">
        <f>I15</f>
        <v>1229913.47</v>
      </c>
      <c r="J14" s="155">
        <f>J15</f>
        <v>1229913</v>
      </c>
      <c r="K14" s="155">
        <f>K15</f>
        <v>1229913</v>
      </c>
    </row>
    <row r="15" spans="1:11" ht="21" customHeight="1">
      <c r="A15" s="154" t="s">
        <v>179</v>
      </c>
      <c r="B15" s="147" t="s">
        <v>108</v>
      </c>
      <c r="C15" s="147" t="s">
        <v>1</v>
      </c>
      <c r="D15" s="147" t="s">
        <v>39</v>
      </c>
      <c r="E15" s="147" t="s">
        <v>85</v>
      </c>
      <c r="F15" s="147" t="s">
        <v>291</v>
      </c>
      <c r="G15" s="147">
        <v>120</v>
      </c>
      <c r="H15" s="147">
        <v>210</v>
      </c>
      <c r="I15" s="155">
        <f>I16+I17</f>
        <v>1229913.47</v>
      </c>
      <c r="J15" s="155">
        <f>J16+J17</f>
        <v>1229913</v>
      </c>
      <c r="K15" s="155">
        <f>K16+K17</f>
        <v>1229913</v>
      </c>
    </row>
    <row r="16" spans="1:14" ht="21" customHeight="1" hidden="1">
      <c r="A16" s="157" t="s">
        <v>10</v>
      </c>
      <c r="B16" s="147" t="s">
        <v>108</v>
      </c>
      <c r="C16" s="147" t="s">
        <v>1</v>
      </c>
      <c r="D16" s="147" t="s">
        <v>39</v>
      </c>
      <c r="E16" s="147" t="s">
        <v>85</v>
      </c>
      <c r="F16" s="147"/>
      <c r="G16" s="147">
        <v>121</v>
      </c>
      <c r="H16" s="147">
        <v>211</v>
      </c>
      <c r="I16" s="155">
        <f>78719.5*12</f>
        <v>944634</v>
      </c>
      <c r="J16" s="147">
        <v>944634</v>
      </c>
      <c r="K16" s="147">
        <v>944634</v>
      </c>
      <c r="N16" t="s">
        <v>358</v>
      </c>
    </row>
    <row r="17" spans="1:14" ht="21" customHeight="1" hidden="1">
      <c r="A17" s="157" t="s">
        <v>12</v>
      </c>
      <c r="B17" s="147" t="s">
        <v>108</v>
      </c>
      <c r="C17" s="147" t="s">
        <v>1</v>
      </c>
      <c r="D17" s="147" t="s">
        <v>39</v>
      </c>
      <c r="E17" s="147" t="s">
        <v>85</v>
      </c>
      <c r="F17" s="147"/>
      <c r="G17" s="147">
        <v>129</v>
      </c>
      <c r="H17" s="147">
        <v>213</v>
      </c>
      <c r="I17" s="155">
        <v>285279.47</v>
      </c>
      <c r="J17" s="147">
        <v>285279</v>
      </c>
      <c r="K17" s="147">
        <v>285279</v>
      </c>
      <c r="N17" t="s">
        <v>344</v>
      </c>
    </row>
    <row r="18" spans="1:11" ht="94.5" customHeight="1">
      <c r="A18" s="146" t="s">
        <v>268</v>
      </c>
      <c r="B18" s="149" t="s">
        <v>108</v>
      </c>
      <c r="C18" s="149" t="s">
        <v>1</v>
      </c>
      <c r="D18" s="149" t="s">
        <v>6</v>
      </c>
      <c r="E18" s="149" t="s">
        <v>3</v>
      </c>
      <c r="F18" s="149" t="s">
        <v>292</v>
      </c>
      <c r="G18" s="152"/>
      <c r="H18" s="152" t="s">
        <v>4</v>
      </c>
      <c r="I18" s="158">
        <f>I19+I30+I44</f>
        <v>3761794.6533333333</v>
      </c>
      <c r="J18" s="158">
        <f>J19+J30</f>
        <v>3662064</v>
      </c>
      <c r="K18" s="158">
        <f>K19+K30</f>
        <v>3492936</v>
      </c>
    </row>
    <row r="19" spans="1:11" ht="27">
      <c r="A19" s="154" t="s">
        <v>243</v>
      </c>
      <c r="B19" s="147" t="s">
        <v>108</v>
      </c>
      <c r="C19" s="147" t="s">
        <v>1</v>
      </c>
      <c r="D19" s="147" t="s">
        <v>6</v>
      </c>
      <c r="E19" s="147" t="s">
        <v>3</v>
      </c>
      <c r="F19" s="147" t="s">
        <v>293</v>
      </c>
      <c r="G19" s="147"/>
      <c r="H19" s="147" t="s">
        <v>4</v>
      </c>
      <c r="I19" s="155">
        <f>I22</f>
        <v>2984309.6533333333</v>
      </c>
      <c r="J19" s="155">
        <f>J22</f>
        <v>2880316</v>
      </c>
      <c r="K19" s="155">
        <f>K22</f>
        <v>2880316</v>
      </c>
    </row>
    <row r="20" spans="1:14" ht="108">
      <c r="A20" s="154" t="s">
        <v>276</v>
      </c>
      <c r="B20" s="147" t="s">
        <v>108</v>
      </c>
      <c r="C20" s="147" t="s">
        <v>1</v>
      </c>
      <c r="D20" s="147" t="s">
        <v>6</v>
      </c>
      <c r="E20" s="147" t="s">
        <v>3</v>
      </c>
      <c r="F20" s="147" t="s">
        <v>293</v>
      </c>
      <c r="G20" s="147"/>
      <c r="H20" s="147"/>
      <c r="I20" s="155">
        <f aca="true" t="shared" si="0" ref="I20:K21">I21</f>
        <v>2984309.6533333333</v>
      </c>
      <c r="J20" s="155">
        <f t="shared" si="0"/>
        <v>2880316</v>
      </c>
      <c r="K20" s="155">
        <f t="shared" si="0"/>
        <v>2880316</v>
      </c>
      <c r="N20" s="135"/>
    </row>
    <row r="21" spans="1:11" ht="54.75" customHeight="1">
      <c r="A21" s="154" t="s">
        <v>277</v>
      </c>
      <c r="B21" s="147" t="s">
        <v>108</v>
      </c>
      <c r="C21" s="147" t="s">
        <v>1</v>
      </c>
      <c r="D21" s="147" t="s">
        <v>6</v>
      </c>
      <c r="E21" s="147" t="s">
        <v>109</v>
      </c>
      <c r="F21" s="147" t="s">
        <v>293</v>
      </c>
      <c r="G21" s="147">
        <v>100</v>
      </c>
      <c r="H21" s="147" t="s">
        <v>4</v>
      </c>
      <c r="I21" s="155">
        <f t="shared" si="0"/>
        <v>2984309.6533333333</v>
      </c>
      <c r="J21" s="155">
        <f t="shared" si="0"/>
        <v>2880316</v>
      </c>
      <c r="K21" s="155">
        <f t="shared" si="0"/>
        <v>2880316</v>
      </c>
    </row>
    <row r="22" spans="1:11" ht="24" customHeight="1">
      <c r="A22" s="154" t="s">
        <v>179</v>
      </c>
      <c r="B22" s="147" t="s">
        <v>108</v>
      </c>
      <c r="C22" s="147" t="s">
        <v>1</v>
      </c>
      <c r="D22" s="147" t="s">
        <v>6</v>
      </c>
      <c r="E22" s="147" t="s">
        <v>109</v>
      </c>
      <c r="F22" s="147" t="s">
        <v>293</v>
      </c>
      <c r="G22" s="147">
        <v>120</v>
      </c>
      <c r="H22" s="147">
        <v>210</v>
      </c>
      <c r="I22" s="155">
        <f>I23+I26</f>
        <v>2984309.6533333333</v>
      </c>
      <c r="J22" s="155">
        <f>J23+J26</f>
        <v>2880316</v>
      </c>
      <c r="K22" s="155">
        <f>K23+K26</f>
        <v>2880316</v>
      </c>
    </row>
    <row r="23" spans="1:14" ht="27.75" customHeight="1" hidden="1">
      <c r="A23" s="157" t="s">
        <v>10</v>
      </c>
      <c r="B23" s="147" t="s">
        <v>108</v>
      </c>
      <c r="C23" s="147" t="s">
        <v>1</v>
      </c>
      <c r="D23" s="147" t="s">
        <v>6</v>
      </c>
      <c r="E23" s="147" t="s">
        <v>109</v>
      </c>
      <c r="F23" s="147" t="s">
        <v>293</v>
      </c>
      <c r="G23" s="147">
        <v>121</v>
      </c>
      <c r="H23" s="147">
        <v>211</v>
      </c>
      <c r="I23" s="155">
        <f>I24+I25</f>
        <v>2292095.6533333333</v>
      </c>
      <c r="J23" s="147">
        <f>1862762+350000</f>
        <v>2212762</v>
      </c>
      <c r="K23" s="147">
        <f>1862762+350000</f>
        <v>2212762</v>
      </c>
      <c r="N23" t="s">
        <v>355</v>
      </c>
    </row>
    <row r="24" spans="1:11" ht="0.75" customHeight="1" hidden="1">
      <c r="A24" s="195" t="s">
        <v>392</v>
      </c>
      <c r="B24" s="168" t="s">
        <v>108</v>
      </c>
      <c r="C24" s="168" t="s">
        <v>1</v>
      </c>
      <c r="D24" s="168" t="s">
        <v>6</v>
      </c>
      <c r="E24" s="168" t="s">
        <v>109</v>
      </c>
      <c r="F24" s="168" t="s">
        <v>293</v>
      </c>
      <c r="G24" s="168">
        <v>121</v>
      </c>
      <c r="H24" s="168"/>
      <c r="I24" s="182">
        <f>(1862857.08+68665.6+68665.6)/12*8</f>
        <v>1333458.8533333335</v>
      </c>
      <c r="J24" s="168">
        <v>1024885</v>
      </c>
      <c r="K24" s="168">
        <v>1024885</v>
      </c>
    </row>
    <row r="25" spans="1:11" ht="30" customHeight="1" hidden="1">
      <c r="A25" s="195" t="s">
        <v>393</v>
      </c>
      <c r="B25" s="168" t="s">
        <v>108</v>
      </c>
      <c r="C25" s="168" t="s">
        <v>1</v>
      </c>
      <c r="D25" s="168" t="s">
        <v>6</v>
      </c>
      <c r="E25" s="168" t="s">
        <v>109</v>
      </c>
      <c r="F25" s="168" t="s">
        <v>293</v>
      </c>
      <c r="G25" s="168">
        <v>121</v>
      </c>
      <c r="H25" s="168"/>
      <c r="I25" s="182">
        <f>(1437955.2)/12*8</f>
        <v>958636.7999999999</v>
      </c>
      <c r="J25" s="168">
        <v>670517</v>
      </c>
      <c r="K25" s="168">
        <v>670517</v>
      </c>
    </row>
    <row r="26" spans="1:14" ht="0.75" customHeight="1" hidden="1">
      <c r="A26" s="157" t="s">
        <v>12</v>
      </c>
      <c r="B26" s="147" t="s">
        <v>108</v>
      </c>
      <c r="C26" s="147" t="s">
        <v>1</v>
      </c>
      <c r="D26" s="147" t="s">
        <v>6</v>
      </c>
      <c r="E26" s="147" t="s">
        <v>109</v>
      </c>
      <c r="F26" s="147" t="s">
        <v>293</v>
      </c>
      <c r="G26" s="147">
        <v>129</v>
      </c>
      <c r="H26" s="147">
        <v>213</v>
      </c>
      <c r="I26" s="155">
        <f>I27+I28</f>
        <v>692214</v>
      </c>
      <c r="J26" s="147">
        <f>562554+105000</f>
        <v>667554</v>
      </c>
      <c r="K26" s="147">
        <f>562554+105000</f>
        <v>667554</v>
      </c>
      <c r="N26" s="135" t="s">
        <v>357</v>
      </c>
    </row>
    <row r="27" spans="1:14" ht="29.25" customHeight="1" hidden="1">
      <c r="A27" s="195" t="s">
        <v>394</v>
      </c>
      <c r="B27" s="168" t="s">
        <v>108</v>
      </c>
      <c r="C27" s="168" t="s">
        <v>1</v>
      </c>
      <c r="D27" s="168" t="s">
        <v>6</v>
      </c>
      <c r="E27" s="168" t="s">
        <v>109</v>
      </c>
      <c r="F27" s="168" t="s">
        <v>293</v>
      </c>
      <c r="G27" s="168">
        <v>129</v>
      </c>
      <c r="H27" s="168"/>
      <c r="I27" s="182">
        <v>402705</v>
      </c>
      <c r="J27" s="168">
        <v>340064</v>
      </c>
      <c r="K27" s="168">
        <v>318292</v>
      </c>
      <c r="N27" s="135"/>
    </row>
    <row r="28" spans="1:14" ht="27" customHeight="1" hidden="1">
      <c r="A28" s="195" t="s">
        <v>395</v>
      </c>
      <c r="B28" s="168" t="s">
        <v>108</v>
      </c>
      <c r="C28" s="168" t="s">
        <v>1</v>
      </c>
      <c r="D28" s="168" t="s">
        <v>6</v>
      </c>
      <c r="E28" s="168" t="s">
        <v>109</v>
      </c>
      <c r="F28" s="168" t="s">
        <v>293</v>
      </c>
      <c r="G28" s="168">
        <v>129</v>
      </c>
      <c r="H28" s="168"/>
      <c r="I28" s="182">
        <v>289509</v>
      </c>
      <c r="J28" s="168">
        <v>222490</v>
      </c>
      <c r="K28" s="168">
        <v>208247</v>
      </c>
      <c r="N28" s="135"/>
    </row>
    <row r="29" spans="1:11" ht="38.25" customHeight="1">
      <c r="A29" s="154" t="s">
        <v>244</v>
      </c>
      <c r="B29" s="147" t="s">
        <v>108</v>
      </c>
      <c r="C29" s="147" t="s">
        <v>1</v>
      </c>
      <c r="D29" s="147" t="s">
        <v>6</v>
      </c>
      <c r="E29" s="147" t="s">
        <v>109</v>
      </c>
      <c r="F29" s="147" t="s">
        <v>294</v>
      </c>
      <c r="G29" s="147"/>
      <c r="H29" s="159" t="s">
        <v>128</v>
      </c>
      <c r="I29" s="155">
        <f>I32+I35+I44</f>
        <v>336743</v>
      </c>
      <c r="J29" s="155">
        <f>J32+J35+J44</f>
        <v>311787</v>
      </c>
      <c r="K29" s="155">
        <f>K32+K35+K44</f>
        <v>212620</v>
      </c>
    </row>
    <row r="30" spans="1:11" ht="26.25" customHeight="1">
      <c r="A30" s="154" t="s">
        <v>162</v>
      </c>
      <c r="B30" s="147" t="s">
        <v>108</v>
      </c>
      <c r="C30" s="147" t="s">
        <v>1</v>
      </c>
      <c r="D30" s="147" t="s">
        <v>6</v>
      </c>
      <c r="E30" s="147" t="s">
        <v>109</v>
      </c>
      <c r="F30" s="147" t="s">
        <v>294</v>
      </c>
      <c r="G30" s="147">
        <v>200</v>
      </c>
      <c r="H30" s="160" t="s">
        <v>128</v>
      </c>
      <c r="I30" s="155">
        <f>I31</f>
        <v>777485</v>
      </c>
      <c r="J30" s="155">
        <f>J31</f>
        <v>781748</v>
      </c>
      <c r="K30" s="155">
        <f>K31</f>
        <v>612620</v>
      </c>
    </row>
    <row r="31" spans="1:11" ht="26.25" customHeight="1">
      <c r="A31" s="154" t="s">
        <v>278</v>
      </c>
      <c r="B31" s="147" t="s">
        <v>108</v>
      </c>
      <c r="C31" s="147" t="s">
        <v>1</v>
      </c>
      <c r="D31" s="147" t="s">
        <v>6</v>
      </c>
      <c r="E31" s="147" t="s">
        <v>109</v>
      </c>
      <c r="F31" s="147" t="s">
        <v>294</v>
      </c>
      <c r="G31" s="147">
        <v>240</v>
      </c>
      <c r="H31" s="160"/>
      <c r="I31" s="155">
        <f>I32+I35+I43</f>
        <v>777485</v>
      </c>
      <c r="J31" s="155">
        <f>J32+J35+J43</f>
        <v>781748</v>
      </c>
      <c r="K31" s="155">
        <f>K32+K35+K43</f>
        <v>612620</v>
      </c>
    </row>
    <row r="32" spans="1:11" ht="23.25" customHeight="1">
      <c r="A32" s="154" t="s">
        <v>163</v>
      </c>
      <c r="B32" s="147" t="s">
        <v>108</v>
      </c>
      <c r="C32" s="147" t="s">
        <v>1</v>
      </c>
      <c r="D32" s="147" t="s">
        <v>6</v>
      </c>
      <c r="E32" s="147" t="s">
        <v>109</v>
      </c>
      <c r="F32" s="147" t="s">
        <v>294</v>
      </c>
      <c r="G32" s="147">
        <v>242</v>
      </c>
      <c r="H32" s="160" t="s">
        <v>128</v>
      </c>
      <c r="I32" s="155">
        <f>120000</f>
        <v>120000</v>
      </c>
      <c r="J32" s="155">
        <f>SUM(J33:J34)</f>
        <v>116000</v>
      </c>
      <c r="K32" s="155">
        <f>SUM(K33:K34)</f>
        <v>116000</v>
      </c>
    </row>
    <row r="33" spans="1:11" ht="27" customHeight="1" hidden="1">
      <c r="A33" s="157" t="s">
        <v>14</v>
      </c>
      <c r="B33" s="147" t="s">
        <v>108</v>
      </c>
      <c r="C33" s="147" t="s">
        <v>1</v>
      </c>
      <c r="D33" s="147" t="s">
        <v>6</v>
      </c>
      <c r="E33" s="147" t="s">
        <v>109</v>
      </c>
      <c r="F33" s="147" t="s">
        <v>294</v>
      </c>
      <c r="G33" s="147">
        <v>242</v>
      </c>
      <c r="H33" s="156" t="s">
        <v>164</v>
      </c>
      <c r="I33" s="155">
        <v>20000</v>
      </c>
      <c r="J33" s="147">
        <v>36000</v>
      </c>
      <c r="K33" s="147">
        <v>36000</v>
      </c>
    </row>
    <row r="34" spans="1:11" ht="27.75" customHeight="1" hidden="1">
      <c r="A34" s="157" t="s">
        <v>165</v>
      </c>
      <c r="B34" s="147" t="s">
        <v>108</v>
      </c>
      <c r="C34" s="147" t="s">
        <v>1</v>
      </c>
      <c r="D34" s="147" t="s">
        <v>6</v>
      </c>
      <c r="E34" s="147" t="s">
        <v>109</v>
      </c>
      <c r="F34" s="147" t="s">
        <v>294</v>
      </c>
      <c r="G34" s="147">
        <v>242</v>
      </c>
      <c r="H34" s="156" t="s">
        <v>166</v>
      </c>
      <c r="I34" s="155">
        <v>125154</v>
      </c>
      <c r="J34" s="147">
        <v>80000</v>
      </c>
      <c r="K34" s="147">
        <v>80000</v>
      </c>
    </row>
    <row r="35" spans="1:11" ht="26.25" customHeight="1">
      <c r="A35" s="154" t="s">
        <v>169</v>
      </c>
      <c r="B35" s="147" t="s">
        <v>108</v>
      </c>
      <c r="C35" s="147" t="s">
        <v>1</v>
      </c>
      <c r="D35" s="147" t="s">
        <v>6</v>
      </c>
      <c r="E35" s="147" t="s">
        <v>109</v>
      </c>
      <c r="F35" s="147" t="s">
        <v>294</v>
      </c>
      <c r="G35" s="147">
        <v>244</v>
      </c>
      <c r="H35" s="159" t="s">
        <v>128</v>
      </c>
      <c r="I35" s="155">
        <f>146743+70000</f>
        <v>216743</v>
      </c>
      <c r="J35" s="155">
        <f>595787-400000</f>
        <v>195787</v>
      </c>
      <c r="K35" s="155">
        <f>500000-3380-400000</f>
        <v>96620</v>
      </c>
    </row>
    <row r="36" spans="1:11" ht="0.75" customHeight="1" hidden="1">
      <c r="A36" s="157" t="s">
        <v>15</v>
      </c>
      <c r="B36" s="147" t="s">
        <v>108</v>
      </c>
      <c r="C36" s="147" t="s">
        <v>1</v>
      </c>
      <c r="D36" s="147" t="s">
        <v>6</v>
      </c>
      <c r="E36" s="147" t="s">
        <v>109</v>
      </c>
      <c r="F36" s="147" t="s">
        <v>294</v>
      </c>
      <c r="G36" s="147">
        <v>244</v>
      </c>
      <c r="H36" s="147">
        <v>222</v>
      </c>
      <c r="I36" s="155">
        <v>0</v>
      </c>
      <c r="J36" s="147"/>
      <c r="K36" s="147"/>
    </row>
    <row r="37" spans="1:11" ht="23.25" customHeight="1" hidden="1">
      <c r="A37" s="161" t="s">
        <v>16</v>
      </c>
      <c r="B37" s="147" t="s">
        <v>108</v>
      </c>
      <c r="C37" s="147" t="s">
        <v>1</v>
      </c>
      <c r="D37" s="147" t="s">
        <v>6</v>
      </c>
      <c r="E37" s="147" t="s">
        <v>109</v>
      </c>
      <c r="F37" s="147" t="s">
        <v>294</v>
      </c>
      <c r="G37" s="147">
        <v>244</v>
      </c>
      <c r="H37" s="147">
        <v>223</v>
      </c>
      <c r="I37" s="155">
        <v>328000</v>
      </c>
      <c r="J37" s="147">
        <v>280000</v>
      </c>
      <c r="K37" s="147">
        <v>280000</v>
      </c>
    </row>
    <row r="38" spans="1:11" ht="0.75" customHeight="1" hidden="1">
      <c r="A38" s="161" t="s">
        <v>107</v>
      </c>
      <c r="B38" s="147" t="s">
        <v>108</v>
      </c>
      <c r="C38" s="147" t="s">
        <v>1</v>
      </c>
      <c r="D38" s="147" t="s">
        <v>6</v>
      </c>
      <c r="E38" s="147" t="s">
        <v>109</v>
      </c>
      <c r="F38" s="147" t="s">
        <v>294</v>
      </c>
      <c r="G38" s="147">
        <v>244</v>
      </c>
      <c r="H38" s="147">
        <v>224</v>
      </c>
      <c r="I38" s="155">
        <v>0</v>
      </c>
      <c r="J38" s="147">
        <v>0</v>
      </c>
      <c r="K38" s="147">
        <v>0</v>
      </c>
    </row>
    <row r="39" spans="1:11" ht="21.75" customHeight="1" hidden="1">
      <c r="A39" s="157" t="s">
        <v>17</v>
      </c>
      <c r="B39" s="147" t="s">
        <v>108</v>
      </c>
      <c r="C39" s="147" t="s">
        <v>1</v>
      </c>
      <c r="D39" s="147" t="s">
        <v>6</v>
      </c>
      <c r="E39" s="147" t="s">
        <v>109</v>
      </c>
      <c r="F39" s="147" t="s">
        <v>294</v>
      </c>
      <c r="G39" s="147">
        <v>244</v>
      </c>
      <c r="H39" s="147">
        <v>225</v>
      </c>
      <c r="I39" s="155">
        <v>106993.5</v>
      </c>
      <c r="J39" s="147">
        <v>180000</v>
      </c>
      <c r="K39" s="147">
        <v>180000</v>
      </c>
    </row>
    <row r="40" spans="1:11" ht="23.25" customHeight="1" hidden="1">
      <c r="A40" s="157" t="s">
        <v>170</v>
      </c>
      <c r="B40" s="147" t="s">
        <v>108</v>
      </c>
      <c r="C40" s="147" t="s">
        <v>1</v>
      </c>
      <c r="D40" s="147" t="s">
        <v>6</v>
      </c>
      <c r="E40" s="147" t="s">
        <v>109</v>
      </c>
      <c r="F40" s="147" t="s">
        <v>294</v>
      </c>
      <c r="G40" s="147">
        <v>244</v>
      </c>
      <c r="H40" s="147">
        <v>226</v>
      </c>
      <c r="I40" s="155">
        <v>245337.01</v>
      </c>
      <c r="J40" s="147">
        <v>8500</v>
      </c>
      <c r="K40" s="147">
        <v>8500</v>
      </c>
    </row>
    <row r="41" spans="1:11" ht="24" customHeight="1" hidden="1">
      <c r="A41" s="157" t="s">
        <v>19</v>
      </c>
      <c r="B41" s="147" t="s">
        <v>108</v>
      </c>
      <c r="C41" s="147" t="s">
        <v>1</v>
      </c>
      <c r="D41" s="147" t="s">
        <v>6</v>
      </c>
      <c r="E41" s="147" t="s">
        <v>109</v>
      </c>
      <c r="F41" s="147" t="s">
        <v>294</v>
      </c>
      <c r="G41" s="147">
        <v>244</v>
      </c>
      <c r="H41" s="147">
        <v>290</v>
      </c>
      <c r="I41" s="155">
        <f>25515-25515</f>
        <v>0</v>
      </c>
      <c r="J41" s="147">
        <v>4500</v>
      </c>
      <c r="K41" s="147">
        <v>4500</v>
      </c>
    </row>
    <row r="42" spans="1:11" ht="22.5" customHeight="1" hidden="1">
      <c r="A42" s="157" t="s">
        <v>22</v>
      </c>
      <c r="B42" s="147" t="s">
        <v>108</v>
      </c>
      <c r="C42" s="147" t="s">
        <v>1</v>
      </c>
      <c r="D42" s="147" t="s">
        <v>6</v>
      </c>
      <c r="E42" s="147" t="s">
        <v>109</v>
      </c>
      <c r="F42" s="147" t="s">
        <v>294</v>
      </c>
      <c r="G42" s="147">
        <v>244</v>
      </c>
      <c r="H42" s="147">
        <v>340</v>
      </c>
      <c r="I42" s="155">
        <f>185162.99</f>
        <v>185162.99</v>
      </c>
      <c r="J42" s="147">
        <v>137500</v>
      </c>
      <c r="K42" s="147">
        <v>82520</v>
      </c>
    </row>
    <row r="43" spans="1:11" ht="22.5" customHeight="1">
      <c r="A43" s="157" t="s">
        <v>464</v>
      </c>
      <c r="B43" s="147" t="s">
        <v>108</v>
      </c>
      <c r="C43" s="147" t="s">
        <v>1</v>
      </c>
      <c r="D43" s="147" t="s">
        <v>6</v>
      </c>
      <c r="E43" s="147" t="s">
        <v>109</v>
      </c>
      <c r="F43" s="147" t="s">
        <v>294</v>
      </c>
      <c r="G43" s="147">
        <v>247</v>
      </c>
      <c r="H43" s="147">
        <v>310</v>
      </c>
      <c r="I43" s="155">
        <f>400000+40742</f>
        <v>440742</v>
      </c>
      <c r="J43" s="147">
        <f>400000+69961</f>
        <v>469961</v>
      </c>
      <c r="K43" s="147">
        <v>400000</v>
      </c>
    </row>
    <row r="44" spans="1:11" ht="34.5" customHeight="1">
      <c r="A44" s="154" t="s">
        <v>246</v>
      </c>
      <c r="B44" s="147" t="s">
        <v>108</v>
      </c>
      <c r="C44" s="147" t="s">
        <v>1</v>
      </c>
      <c r="D44" s="147" t="s">
        <v>6</v>
      </c>
      <c r="E44" s="147" t="s">
        <v>109</v>
      </c>
      <c r="F44" s="147" t="s">
        <v>294</v>
      </c>
      <c r="G44" s="149">
        <v>800</v>
      </c>
      <c r="H44" s="159" t="s">
        <v>128</v>
      </c>
      <c r="I44" s="155">
        <v>0</v>
      </c>
      <c r="J44" s="155">
        <f>J45</f>
        <v>0</v>
      </c>
      <c r="K44" s="155">
        <f>K45</f>
        <v>0</v>
      </c>
    </row>
    <row r="45" spans="1:11" ht="37.5" customHeight="1" hidden="1">
      <c r="A45" s="154" t="s">
        <v>171</v>
      </c>
      <c r="B45" s="147" t="s">
        <v>108</v>
      </c>
      <c r="C45" s="147" t="s">
        <v>1</v>
      </c>
      <c r="D45" s="147" t="s">
        <v>6</v>
      </c>
      <c r="E45" s="147" t="s">
        <v>109</v>
      </c>
      <c r="F45" s="147" t="s">
        <v>294</v>
      </c>
      <c r="G45" s="147">
        <v>850</v>
      </c>
      <c r="H45" s="159" t="s">
        <v>128</v>
      </c>
      <c r="I45" s="155">
        <f>I47+I49</f>
        <v>5000</v>
      </c>
      <c r="J45" s="155">
        <f>J47+J49</f>
        <v>0</v>
      </c>
      <c r="K45" s="155">
        <f>K47+K49</f>
        <v>0</v>
      </c>
    </row>
    <row r="46" spans="1:11" ht="27" customHeight="1" hidden="1">
      <c r="A46" s="157" t="s">
        <v>172</v>
      </c>
      <c r="B46" s="147" t="s">
        <v>108</v>
      </c>
      <c r="C46" s="147" t="s">
        <v>1</v>
      </c>
      <c r="D46" s="147" t="s">
        <v>6</v>
      </c>
      <c r="E46" s="147" t="s">
        <v>109</v>
      </c>
      <c r="F46" s="147" t="s">
        <v>294</v>
      </c>
      <c r="G46" s="147">
        <v>852</v>
      </c>
      <c r="H46" s="149">
        <v>290</v>
      </c>
      <c r="I46" s="155">
        <v>0</v>
      </c>
      <c r="J46" s="147"/>
      <c r="K46" s="147"/>
    </row>
    <row r="47" spans="1:11" ht="24.75" customHeight="1" hidden="1">
      <c r="A47" s="154" t="s">
        <v>272</v>
      </c>
      <c r="B47" s="147" t="s">
        <v>108</v>
      </c>
      <c r="C47" s="147" t="s">
        <v>1</v>
      </c>
      <c r="D47" s="147" t="s">
        <v>6</v>
      </c>
      <c r="E47" s="147" t="s">
        <v>109</v>
      </c>
      <c r="F47" s="147" t="s">
        <v>294</v>
      </c>
      <c r="G47" s="147">
        <v>851</v>
      </c>
      <c r="H47" s="159" t="s">
        <v>128</v>
      </c>
      <c r="I47" s="155">
        <f>I48</f>
        <v>0</v>
      </c>
      <c r="J47" s="147">
        <v>0</v>
      </c>
      <c r="K47" s="147">
        <v>0</v>
      </c>
    </row>
    <row r="48" spans="1:11" ht="0.75" customHeight="1">
      <c r="A48" s="157" t="s">
        <v>19</v>
      </c>
      <c r="B48" s="147" t="s">
        <v>108</v>
      </c>
      <c r="C48" s="147" t="s">
        <v>1</v>
      </c>
      <c r="D48" s="147" t="s">
        <v>6</v>
      </c>
      <c r="E48" s="147" t="s">
        <v>109</v>
      </c>
      <c r="F48" s="147" t="s">
        <v>294</v>
      </c>
      <c r="G48" s="147">
        <v>851</v>
      </c>
      <c r="H48" s="149">
        <v>290</v>
      </c>
      <c r="I48" s="155">
        <v>0</v>
      </c>
      <c r="J48" s="147"/>
      <c r="K48" s="147"/>
    </row>
    <row r="49" spans="1:11" ht="27" customHeight="1" hidden="1">
      <c r="A49" s="154" t="s">
        <v>172</v>
      </c>
      <c r="B49" s="147" t="s">
        <v>108</v>
      </c>
      <c r="C49" s="147" t="s">
        <v>1</v>
      </c>
      <c r="D49" s="147" t="s">
        <v>6</v>
      </c>
      <c r="E49" s="147" t="s">
        <v>109</v>
      </c>
      <c r="F49" s="147" t="s">
        <v>294</v>
      </c>
      <c r="G49" s="147">
        <v>852</v>
      </c>
      <c r="H49" s="159" t="s">
        <v>128</v>
      </c>
      <c r="I49" s="155">
        <v>5000</v>
      </c>
      <c r="J49" s="147"/>
      <c r="K49" s="147"/>
    </row>
    <row r="50" spans="1:11" ht="21" customHeight="1" hidden="1">
      <c r="A50" s="157" t="s">
        <v>19</v>
      </c>
      <c r="B50" s="147" t="s">
        <v>108</v>
      </c>
      <c r="C50" s="147" t="s">
        <v>1</v>
      </c>
      <c r="D50" s="147" t="s">
        <v>6</v>
      </c>
      <c r="E50" s="147" t="s">
        <v>109</v>
      </c>
      <c r="F50" s="147"/>
      <c r="G50" s="147">
        <v>852</v>
      </c>
      <c r="H50" s="149">
        <v>290</v>
      </c>
      <c r="I50" s="155">
        <v>0</v>
      </c>
      <c r="J50" s="147"/>
      <c r="K50" s="147"/>
    </row>
    <row r="51" spans="1:11" ht="27" customHeight="1" hidden="1">
      <c r="A51" s="157" t="s">
        <v>347</v>
      </c>
      <c r="B51" s="156" t="s">
        <v>151</v>
      </c>
      <c r="C51" s="159" t="s">
        <v>130</v>
      </c>
      <c r="D51" s="159" t="s">
        <v>345</v>
      </c>
      <c r="E51" s="159" t="s">
        <v>127</v>
      </c>
      <c r="F51" s="159" t="s">
        <v>346</v>
      </c>
      <c r="G51" s="156" t="s">
        <v>194</v>
      </c>
      <c r="H51" s="156"/>
      <c r="I51" s="148">
        <v>229974</v>
      </c>
      <c r="J51" s="147">
        <v>0</v>
      </c>
      <c r="K51" s="147">
        <v>0</v>
      </c>
    </row>
    <row r="52" spans="1:11" ht="53.25" customHeight="1">
      <c r="A52" s="146" t="s">
        <v>271</v>
      </c>
      <c r="B52" s="159" t="s">
        <v>151</v>
      </c>
      <c r="C52" s="149" t="s">
        <v>1</v>
      </c>
      <c r="D52" s="149">
        <v>11</v>
      </c>
      <c r="E52" s="149" t="s">
        <v>3</v>
      </c>
      <c r="F52" s="147" t="s">
        <v>295</v>
      </c>
      <c r="G52" s="149"/>
      <c r="H52" s="159" t="s">
        <v>128</v>
      </c>
      <c r="I52" s="150">
        <f>I54</f>
        <v>15000</v>
      </c>
      <c r="J52" s="150">
        <f>J54</f>
        <v>15000</v>
      </c>
      <c r="K52" s="150">
        <f>K54</f>
        <v>15000</v>
      </c>
    </row>
    <row r="53" spans="1:11" ht="40.5">
      <c r="A53" s="154" t="s">
        <v>273</v>
      </c>
      <c r="B53" s="156" t="s">
        <v>151</v>
      </c>
      <c r="C53" s="147" t="s">
        <v>1</v>
      </c>
      <c r="D53" s="147">
        <v>11</v>
      </c>
      <c r="E53" s="147" t="s">
        <v>3</v>
      </c>
      <c r="F53" s="147" t="s">
        <v>296</v>
      </c>
      <c r="G53" s="147"/>
      <c r="H53" s="159" t="s">
        <v>128</v>
      </c>
      <c r="I53" s="148">
        <f aca="true" t="shared" si="1" ref="I53:K54">I54</f>
        <v>15000</v>
      </c>
      <c r="J53" s="148">
        <f t="shared" si="1"/>
        <v>15000</v>
      </c>
      <c r="K53" s="148">
        <f t="shared" si="1"/>
        <v>15000</v>
      </c>
    </row>
    <row r="54" spans="1:11" ht="25.5" customHeight="1">
      <c r="A54" s="154" t="s">
        <v>246</v>
      </c>
      <c r="B54" s="156" t="s">
        <v>151</v>
      </c>
      <c r="C54" s="147" t="s">
        <v>1</v>
      </c>
      <c r="D54" s="147">
        <v>11</v>
      </c>
      <c r="E54" s="147" t="s">
        <v>113</v>
      </c>
      <c r="F54" s="147" t="s">
        <v>296</v>
      </c>
      <c r="G54" s="147">
        <v>800</v>
      </c>
      <c r="H54" s="159" t="s">
        <v>128</v>
      </c>
      <c r="I54" s="148">
        <f t="shared" si="1"/>
        <v>15000</v>
      </c>
      <c r="J54" s="148">
        <f t="shared" si="1"/>
        <v>15000</v>
      </c>
      <c r="K54" s="148">
        <f t="shared" si="1"/>
        <v>15000</v>
      </c>
    </row>
    <row r="55" spans="1:11" ht="21" customHeight="1">
      <c r="A55" s="154" t="s">
        <v>274</v>
      </c>
      <c r="B55" s="156" t="s">
        <v>151</v>
      </c>
      <c r="C55" s="147" t="s">
        <v>1</v>
      </c>
      <c r="D55" s="147">
        <v>11</v>
      </c>
      <c r="E55" s="147" t="s">
        <v>113</v>
      </c>
      <c r="F55" s="147" t="s">
        <v>296</v>
      </c>
      <c r="G55" s="147">
        <v>870</v>
      </c>
      <c r="H55" s="159" t="s">
        <v>128</v>
      </c>
      <c r="I55" s="148">
        <f>I56</f>
        <v>15000</v>
      </c>
      <c r="J55" s="147">
        <f>J56</f>
        <v>15000</v>
      </c>
      <c r="K55" s="147">
        <f>K56</f>
        <v>15000</v>
      </c>
    </row>
    <row r="56" spans="1:11" ht="24.75" customHeight="1" hidden="1">
      <c r="A56" s="157" t="s">
        <v>19</v>
      </c>
      <c r="B56" s="156" t="s">
        <v>151</v>
      </c>
      <c r="C56" s="147" t="s">
        <v>1</v>
      </c>
      <c r="D56" s="147">
        <v>11</v>
      </c>
      <c r="E56" s="147" t="s">
        <v>113</v>
      </c>
      <c r="F56" s="147"/>
      <c r="G56" s="147">
        <v>870</v>
      </c>
      <c r="H56" s="159" t="s">
        <v>275</v>
      </c>
      <c r="I56" s="148">
        <v>15000</v>
      </c>
      <c r="J56" s="147">
        <v>15000</v>
      </c>
      <c r="K56" s="147">
        <v>15000</v>
      </c>
    </row>
    <row r="57" spans="1:11" ht="40.5">
      <c r="A57" s="146" t="s">
        <v>266</v>
      </c>
      <c r="B57" s="159" t="s">
        <v>151</v>
      </c>
      <c r="C57" s="159" t="s">
        <v>126</v>
      </c>
      <c r="D57" s="159" t="s">
        <v>126</v>
      </c>
      <c r="E57" s="159" t="s">
        <v>127</v>
      </c>
      <c r="F57" s="159" t="s">
        <v>297</v>
      </c>
      <c r="G57" s="149"/>
      <c r="H57" s="159" t="s">
        <v>128</v>
      </c>
      <c r="I57" s="158">
        <f>I58</f>
        <v>700</v>
      </c>
      <c r="J57" s="158">
        <f>J58</f>
        <v>700</v>
      </c>
      <c r="K57" s="158">
        <f>K58</f>
        <v>700</v>
      </c>
    </row>
    <row r="58" spans="1:11" ht="108">
      <c r="A58" s="146" t="s">
        <v>216</v>
      </c>
      <c r="B58" s="159" t="s">
        <v>151</v>
      </c>
      <c r="C58" s="149" t="s">
        <v>1</v>
      </c>
      <c r="D58" s="149">
        <v>13</v>
      </c>
      <c r="E58" s="149" t="s">
        <v>3</v>
      </c>
      <c r="F58" s="149" t="s">
        <v>298</v>
      </c>
      <c r="G58" s="149"/>
      <c r="H58" s="159" t="s">
        <v>128</v>
      </c>
      <c r="I58" s="150">
        <f aca="true" t="shared" si="2" ref="I58:K61">I59</f>
        <v>700</v>
      </c>
      <c r="J58" s="150">
        <f t="shared" si="2"/>
        <v>700</v>
      </c>
      <c r="K58" s="150">
        <f t="shared" si="2"/>
        <v>700</v>
      </c>
    </row>
    <row r="59" spans="1:11" ht="33.75" customHeight="1">
      <c r="A59" s="154" t="s">
        <v>162</v>
      </c>
      <c r="B59" s="156" t="s">
        <v>151</v>
      </c>
      <c r="C59" s="156" t="s">
        <v>130</v>
      </c>
      <c r="D59" s="156" t="s">
        <v>217</v>
      </c>
      <c r="E59" s="156" t="s">
        <v>218</v>
      </c>
      <c r="F59" s="147" t="s">
        <v>298</v>
      </c>
      <c r="G59" s="156" t="s">
        <v>133</v>
      </c>
      <c r="H59" s="156" t="s">
        <v>128</v>
      </c>
      <c r="I59" s="150">
        <f t="shared" si="2"/>
        <v>700</v>
      </c>
      <c r="J59" s="150">
        <f t="shared" si="2"/>
        <v>700</v>
      </c>
      <c r="K59" s="150">
        <f t="shared" si="2"/>
        <v>700</v>
      </c>
    </row>
    <row r="60" spans="1:11" ht="27">
      <c r="A60" s="146" t="s">
        <v>278</v>
      </c>
      <c r="B60" s="156" t="s">
        <v>151</v>
      </c>
      <c r="C60" s="156" t="s">
        <v>130</v>
      </c>
      <c r="D60" s="156" t="s">
        <v>217</v>
      </c>
      <c r="E60" s="156" t="s">
        <v>218</v>
      </c>
      <c r="F60" s="147" t="s">
        <v>298</v>
      </c>
      <c r="G60" s="156" t="s">
        <v>279</v>
      </c>
      <c r="H60" s="156"/>
      <c r="I60" s="148">
        <f t="shared" si="2"/>
        <v>700</v>
      </c>
      <c r="J60" s="148">
        <f t="shared" si="2"/>
        <v>700</v>
      </c>
      <c r="K60" s="148">
        <f t="shared" si="2"/>
        <v>700</v>
      </c>
    </row>
    <row r="61" spans="1:11" ht="40.5">
      <c r="A61" s="162" t="s">
        <v>169</v>
      </c>
      <c r="B61" s="156" t="s">
        <v>151</v>
      </c>
      <c r="C61" s="156" t="s">
        <v>130</v>
      </c>
      <c r="D61" s="156" t="s">
        <v>217</v>
      </c>
      <c r="E61" s="156" t="s">
        <v>218</v>
      </c>
      <c r="F61" s="147" t="s">
        <v>298</v>
      </c>
      <c r="G61" s="156" t="s">
        <v>194</v>
      </c>
      <c r="H61" s="156"/>
      <c r="I61" s="148">
        <f t="shared" si="2"/>
        <v>700</v>
      </c>
      <c r="J61" s="148">
        <f t="shared" si="2"/>
        <v>700</v>
      </c>
      <c r="K61" s="148">
        <f t="shared" si="2"/>
        <v>700</v>
      </c>
    </row>
    <row r="62" spans="1:11" ht="0.75" customHeight="1">
      <c r="A62" s="157" t="s">
        <v>280</v>
      </c>
      <c r="B62" s="156" t="s">
        <v>151</v>
      </c>
      <c r="C62" s="156" t="s">
        <v>130</v>
      </c>
      <c r="D62" s="156" t="s">
        <v>217</v>
      </c>
      <c r="E62" s="156" t="s">
        <v>218</v>
      </c>
      <c r="F62" s="149"/>
      <c r="G62" s="156" t="s">
        <v>194</v>
      </c>
      <c r="H62" s="156"/>
      <c r="I62" s="148">
        <v>700</v>
      </c>
      <c r="J62" s="147">
        <v>700</v>
      </c>
      <c r="K62" s="147">
        <v>700</v>
      </c>
    </row>
    <row r="63" spans="1:11" ht="13.5">
      <c r="A63" s="146" t="s">
        <v>68</v>
      </c>
      <c r="B63" s="149" t="s">
        <v>108</v>
      </c>
      <c r="C63" s="149" t="s">
        <v>39</v>
      </c>
      <c r="D63" s="159" t="s">
        <v>126</v>
      </c>
      <c r="E63" s="149" t="s">
        <v>127</v>
      </c>
      <c r="F63" s="149" t="s">
        <v>297</v>
      </c>
      <c r="G63" s="149"/>
      <c r="H63" s="159" t="s">
        <v>128</v>
      </c>
      <c r="I63" s="158">
        <f aca="true" t="shared" si="3" ref="I63:K64">I64</f>
        <v>142799.94000000003</v>
      </c>
      <c r="J63" s="158">
        <f t="shared" si="3"/>
        <v>147700.00000000003</v>
      </c>
      <c r="K63" s="158">
        <f t="shared" si="3"/>
        <v>153100.00000000003</v>
      </c>
    </row>
    <row r="64" spans="1:11" ht="27">
      <c r="A64" s="154" t="s">
        <v>67</v>
      </c>
      <c r="B64" s="147" t="s">
        <v>108</v>
      </c>
      <c r="C64" s="147" t="s">
        <v>39</v>
      </c>
      <c r="D64" s="147" t="s">
        <v>43</v>
      </c>
      <c r="E64" s="147" t="s">
        <v>127</v>
      </c>
      <c r="F64" s="147" t="s">
        <v>299</v>
      </c>
      <c r="G64" s="147"/>
      <c r="H64" s="156" t="s">
        <v>128</v>
      </c>
      <c r="I64" s="155">
        <f t="shared" si="3"/>
        <v>142799.94000000003</v>
      </c>
      <c r="J64" s="155">
        <f t="shared" si="3"/>
        <v>147700.00000000003</v>
      </c>
      <c r="K64" s="155">
        <f t="shared" si="3"/>
        <v>153100.00000000003</v>
      </c>
    </row>
    <row r="65" spans="1:11" ht="36.75" customHeight="1">
      <c r="A65" s="154" t="s">
        <v>90</v>
      </c>
      <c r="B65" s="147" t="s">
        <v>108</v>
      </c>
      <c r="C65" s="147" t="s">
        <v>39</v>
      </c>
      <c r="D65" s="147" t="s">
        <v>43</v>
      </c>
      <c r="E65" s="147" t="s">
        <v>215</v>
      </c>
      <c r="F65" s="147" t="s">
        <v>300</v>
      </c>
      <c r="G65" s="147"/>
      <c r="H65" s="156" t="s">
        <v>128</v>
      </c>
      <c r="I65" s="155">
        <f>I66+I71</f>
        <v>142799.94000000003</v>
      </c>
      <c r="J65" s="155">
        <f>J66+J71</f>
        <v>147700.00000000003</v>
      </c>
      <c r="K65" s="155">
        <f>K66+K71</f>
        <v>153100.00000000003</v>
      </c>
    </row>
    <row r="66" spans="1:11" ht="45.75" customHeight="1">
      <c r="A66" s="154" t="s">
        <v>276</v>
      </c>
      <c r="B66" s="147" t="s">
        <v>108</v>
      </c>
      <c r="C66" s="147" t="s">
        <v>39</v>
      </c>
      <c r="D66" s="147" t="s">
        <v>43</v>
      </c>
      <c r="E66" s="147" t="s">
        <v>215</v>
      </c>
      <c r="F66" s="147" t="s">
        <v>300</v>
      </c>
      <c r="G66" s="147">
        <v>100</v>
      </c>
      <c r="H66" s="156"/>
      <c r="I66" s="155">
        <f aca="true" t="shared" si="4" ref="I66:K67">I67</f>
        <v>138891.05000000002</v>
      </c>
      <c r="J66" s="155">
        <f t="shared" si="4"/>
        <v>138891.05000000002</v>
      </c>
      <c r="K66" s="155">
        <f t="shared" si="4"/>
        <v>138891.05000000002</v>
      </c>
    </row>
    <row r="67" spans="1:11" ht="40.5">
      <c r="A67" s="154" t="s">
        <v>277</v>
      </c>
      <c r="B67" s="147" t="s">
        <v>108</v>
      </c>
      <c r="C67" s="147" t="s">
        <v>39</v>
      </c>
      <c r="D67" s="147" t="s">
        <v>43</v>
      </c>
      <c r="E67" s="147" t="s">
        <v>215</v>
      </c>
      <c r="F67" s="147" t="s">
        <v>300</v>
      </c>
      <c r="G67" s="147">
        <v>120</v>
      </c>
      <c r="H67" s="156"/>
      <c r="I67" s="155">
        <f t="shared" si="4"/>
        <v>138891.05000000002</v>
      </c>
      <c r="J67" s="155">
        <f t="shared" si="4"/>
        <v>138891.05000000002</v>
      </c>
      <c r="K67" s="155">
        <f t="shared" si="4"/>
        <v>138891.05000000002</v>
      </c>
    </row>
    <row r="68" spans="1:11" ht="24" customHeight="1">
      <c r="A68" s="154" t="s">
        <v>179</v>
      </c>
      <c r="B68" s="147" t="s">
        <v>108</v>
      </c>
      <c r="C68" s="147" t="s">
        <v>39</v>
      </c>
      <c r="D68" s="147" t="s">
        <v>43</v>
      </c>
      <c r="E68" s="147" t="s">
        <v>215</v>
      </c>
      <c r="F68" s="147" t="s">
        <v>300</v>
      </c>
      <c r="G68" s="147">
        <v>121</v>
      </c>
      <c r="H68" s="147">
        <v>210</v>
      </c>
      <c r="I68" s="155">
        <f>I69+I70</f>
        <v>138891.05000000002</v>
      </c>
      <c r="J68" s="155">
        <f>J69+J70</f>
        <v>138891.05000000002</v>
      </c>
      <c r="K68" s="155">
        <f>K69+K70</f>
        <v>138891.05000000002</v>
      </c>
    </row>
    <row r="69" spans="1:11" ht="0.75" customHeight="1">
      <c r="A69" s="157" t="s">
        <v>10</v>
      </c>
      <c r="B69" s="147" t="s">
        <v>108</v>
      </c>
      <c r="C69" s="147" t="s">
        <v>39</v>
      </c>
      <c r="D69" s="147" t="s">
        <v>43</v>
      </c>
      <c r="E69" s="147" t="s">
        <v>215</v>
      </c>
      <c r="F69" s="147" t="s">
        <v>300</v>
      </c>
      <c r="G69" s="147">
        <v>121</v>
      </c>
      <c r="H69" s="147">
        <v>211</v>
      </c>
      <c r="I69" s="155">
        <f>8889.6*12</f>
        <v>106675.20000000001</v>
      </c>
      <c r="J69" s="155">
        <f>8889.6*12</f>
        <v>106675.20000000001</v>
      </c>
      <c r="K69" s="155">
        <f>8889.6*12</f>
        <v>106675.20000000001</v>
      </c>
    </row>
    <row r="70" spans="1:11" ht="24" customHeight="1" hidden="1">
      <c r="A70" s="157" t="s">
        <v>12</v>
      </c>
      <c r="B70" s="147" t="s">
        <v>108</v>
      </c>
      <c r="C70" s="147" t="s">
        <v>39</v>
      </c>
      <c r="D70" s="147" t="s">
        <v>43</v>
      </c>
      <c r="E70" s="147" t="s">
        <v>215</v>
      </c>
      <c r="F70" s="147" t="s">
        <v>300</v>
      </c>
      <c r="G70" s="147">
        <v>129</v>
      </c>
      <c r="H70" s="147">
        <v>213</v>
      </c>
      <c r="I70" s="155">
        <f>106675*30.2%</f>
        <v>32215.85</v>
      </c>
      <c r="J70" s="155">
        <f>106675*30.2%</f>
        <v>32215.85</v>
      </c>
      <c r="K70" s="155">
        <f>106675*30.2%</f>
        <v>32215.85</v>
      </c>
    </row>
    <row r="71" spans="1:11" ht="25.5" customHeight="1">
      <c r="A71" s="154" t="s">
        <v>162</v>
      </c>
      <c r="B71" s="147" t="s">
        <v>108</v>
      </c>
      <c r="C71" s="147" t="s">
        <v>39</v>
      </c>
      <c r="D71" s="147" t="s">
        <v>43</v>
      </c>
      <c r="E71" s="147" t="s">
        <v>215</v>
      </c>
      <c r="F71" s="147" t="s">
        <v>300</v>
      </c>
      <c r="G71" s="147">
        <v>200</v>
      </c>
      <c r="H71" s="147"/>
      <c r="I71" s="155">
        <f>I72</f>
        <v>3908.89</v>
      </c>
      <c r="J71" s="155">
        <f>J72</f>
        <v>8808.95</v>
      </c>
      <c r="K71" s="155">
        <f>K73+K76</f>
        <v>14208.95</v>
      </c>
    </row>
    <row r="72" spans="1:11" ht="28.5" customHeight="1">
      <c r="A72" s="154" t="s">
        <v>278</v>
      </c>
      <c r="B72" s="147" t="s">
        <v>108</v>
      </c>
      <c r="C72" s="147" t="s">
        <v>39</v>
      </c>
      <c r="D72" s="147" t="s">
        <v>43</v>
      </c>
      <c r="E72" s="147" t="s">
        <v>215</v>
      </c>
      <c r="F72" s="147" t="s">
        <v>300</v>
      </c>
      <c r="G72" s="147">
        <v>240</v>
      </c>
      <c r="H72" s="147"/>
      <c r="I72" s="155">
        <f>I76</f>
        <v>3908.89</v>
      </c>
      <c r="J72" s="155">
        <f>J76</f>
        <v>8808.95</v>
      </c>
      <c r="K72" s="155">
        <f>K76+K73</f>
        <v>14208.95</v>
      </c>
    </row>
    <row r="73" spans="1:11" ht="40.5" customHeight="1">
      <c r="A73" s="154" t="s">
        <v>163</v>
      </c>
      <c r="B73" s="147" t="s">
        <v>108</v>
      </c>
      <c r="C73" s="147" t="s">
        <v>39</v>
      </c>
      <c r="D73" s="147" t="s">
        <v>43</v>
      </c>
      <c r="E73" s="147" t="s">
        <v>215</v>
      </c>
      <c r="F73" s="147" t="s">
        <v>300</v>
      </c>
      <c r="G73" s="147">
        <v>242</v>
      </c>
      <c r="H73" s="147"/>
      <c r="I73" s="155">
        <f>I74</f>
        <v>0</v>
      </c>
      <c r="J73" s="155">
        <f>J74</f>
        <v>0</v>
      </c>
      <c r="K73" s="155">
        <f>K74</f>
        <v>0</v>
      </c>
    </row>
    <row r="74" spans="1:11" ht="21.75" customHeight="1" hidden="1">
      <c r="A74" s="157" t="s">
        <v>14</v>
      </c>
      <c r="B74" s="147" t="s">
        <v>108</v>
      </c>
      <c r="C74" s="147" t="s">
        <v>39</v>
      </c>
      <c r="D74" s="147" t="s">
        <v>43</v>
      </c>
      <c r="E74" s="147" t="s">
        <v>215</v>
      </c>
      <c r="F74" s="147" t="s">
        <v>300</v>
      </c>
      <c r="G74" s="147">
        <v>242</v>
      </c>
      <c r="H74" s="147">
        <v>221</v>
      </c>
      <c r="I74" s="155">
        <v>0</v>
      </c>
      <c r="J74" s="147">
        <v>0</v>
      </c>
      <c r="K74" s="147">
        <v>0</v>
      </c>
    </row>
    <row r="75" spans="1:11" ht="30" customHeight="1">
      <c r="A75" s="154" t="s">
        <v>278</v>
      </c>
      <c r="B75" s="147" t="s">
        <v>108</v>
      </c>
      <c r="C75" s="147" t="s">
        <v>39</v>
      </c>
      <c r="D75" s="147" t="s">
        <v>43</v>
      </c>
      <c r="E75" s="147" t="s">
        <v>215</v>
      </c>
      <c r="F75" s="147" t="s">
        <v>300</v>
      </c>
      <c r="G75" s="147">
        <v>242</v>
      </c>
      <c r="H75" s="147"/>
      <c r="I75" s="155">
        <v>0</v>
      </c>
      <c r="J75" s="155">
        <v>0</v>
      </c>
      <c r="K75" s="155">
        <v>0</v>
      </c>
    </row>
    <row r="76" spans="1:11" ht="44.25" customHeight="1">
      <c r="A76" s="154" t="s">
        <v>169</v>
      </c>
      <c r="B76" s="147" t="s">
        <v>108</v>
      </c>
      <c r="C76" s="147" t="s">
        <v>39</v>
      </c>
      <c r="D76" s="147" t="s">
        <v>43</v>
      </c>
      <c r="E76" s="147" t="s">
        <v>215</v>
      </c>
      <c r="F76" s="147" t="s">
        <v>300</v>
      </c>
      <c r="G76" s="147">
        <v>244</v>
      </c>
      <c r="H76" s="147">
        <v>200</v>
      </c>
      <c r="I76" s="155">
        <v>3908.89</v>
      </c>
      <c r="J76" s="155">
        <v>8808.95</v>
      </c>
      <c r="K76" s="155">
        <v>14208.95</v>
      </c>
    </row>
    <row r="77" spans="1:11" ht="0.75" customHeight="1">
      <c r="A77" s="157" t="s">
        <v>170</v>
      </c>
      <c r="B77" s="147" t="s">
        <v>108</v>
      </c>
      <c r="C77" s="147" t="s">
        <v>39</v>
      </c>
      <c r="D77" s="147" t="s">
        <v>43</v>
      </c>
      <c r="E77" s="147" t="s">
        <v>215</v>
      </c>
      <c r="F77" s="147" t="s">
        <v>300</v>
      </c>
      <c r="G77" s="147">
        <v>244</v>
      </c>
      <c r="H77" s="147"/>
      <c r="I77" s="155">
        <v>0</v>
      </c>
      <c r="J77" s="147">
        <v>0</v>
      </c>
      <c r="K77" s="147">
        <v>0</v>
      </c>
    </row>
    <row r="78" spans="1:11" ht="31.5" customHeight="1" hidden="1">
      <c r="A78" s="157" t="s">
        <v>22</v>
      </c>
      <c r="B78" s="147" t="s">
        <v>108</v>
      </c>
      <c r="C78" s="147" t="s">
        <v>39</v>
      </c>
      <c r="D78" s="147" t="s">
        <v>43</v>
      </c>
      <c r="E78" s="147" t="s">
        <v>215</v>
      </c>
      <c r="F78" s="149" t="s">
        <v>300</v>
      </c>
      <c r="G78" s="147">
        <v>244</v>
      </c>
      <c r="H78" s="147">
        <v>340</v>
      </c>
      <c r="I78" s="155">
        <v>3128</v>
      </c>
      <c r="J78" s="147">
        <v>3128</v>
      </c>
      <c r="K78" s="147">
        <v>3128</v>
      </c>
    </row>
    <row r="79" spans="1:11" ht="41.25" customHeight="1">
      <c r="A79" s="146" t="s">
        <v>354</v>
      </c>
      <c r="B79" s="147" t="s">
        <v>108</v>
      </c>
      <c r="C79" s="147" t="s">
        <v>43</v>
      </c>
      <c r="D79" s="147"/>
      <c r="E79" s="147"/>
      <c r="F79" s="149"/>
      <c r="G79" s="147"/>
      <c r="H79" s="147"/>
      <c r="I79" s="155">
        <f>I80</f>
        <v>50000</v>
      </c>
      <c r="J79" s="155">
        <f>J80</f>
        <v>50000</v>
      </c>
      <c r="K79" s="155">
        <f>K80</f>
        <v>50000</v>
      </c>
    </row>
    <row r="80" spans="1:11" ht="13.5" customHeight="1">
      <c r="A80" s="163" t="s">
        <v>282</v>
      </c>
      <c r="B80" s="156" t="s">
        <v>151</v>
      </c>
      <c r="C80" s="164" t="s">
        <v>191</v>
      </c>
      <c r="D80" s="164" t="s">
        <v>126</v>
      </c>
      <c r="E80" s="165"/>
      <c r="F80" s="166" t="s">
        <v>342</v>
      </c>
      <c r="G80" s="156"/>
      <c r="H80" s="156"/>
      <c r="I80" s="155">
        <f>I83</f>
        <v>50000</v>
      </c>
      <c r="J80" s="155">
        <f>J83</f>
        <v>50000</v>
      </c>
      <c r="K80" s="155">
        <f>K83</f>
        <v>50000</v>
      </c>
    </row>
    <row r="81" spans="1:11" ht="0.75" customHeight="1" hidden="1">
      <c r="A81" s="157" t="s">
        <v>170</v>
      </c>
      <c r="B81" s="156" t="s">
        <v>151</v>
      </c>
      <c r="C81" s="156" t="s">
        <v>191</v>
      </c>
      <c r="D81" s="164" t="s">
        <v>192</v>
      </c>
      <c r="E81" s="156" t="s">
        <v>205</v>
      </c>
      <c r="F81" s="148" t="s">
        <v>341</v>
      </c>
      <c r="G81" s="147">
        <v>244</v>
      </c>
      <c r="H81" s="147">
        <v>290</v>
      </c>
      <c r="I81" s="155">
        <v>0</v>
      </c>
      <c r="J81" s="147">
        <v>0</v>
      </c>
      <c r="K81" s="147">
        <v>0</v>
      </c>
    </row>
    <row r="82" spans="1:11" ht="26.25" customHeight="1" hidden="1">
      <c r="A82" s="157" t="s">
        <v>22</v>
      </c>
      <c r="B82" s="156" t="s">
        <v>151</v>
      </c>
      <c r="C82" s="156" t="s">
        <v>191</v>
      </c>
      <c r="D82" s="164" t="s">
        <v>192</v>
      </c>
      <c r="E82" s="156" t="s">
        <v>205</v>
      </c>
      <c r="F82" s="148" t="s">
        <v>341</v>
      </c>
      <c r="G82" s="147">
        <v>244</v>
      </c>
      <c r="H82" s="147">
        <v>290</v>
      </c>
      <c r="I82" s="155">
        <v>5000</v>
      </c>
      <c r="J82" s="147">
        <v>5000</v>
      </c>
      <c r="K82" s="147">
        <v>5000</v>
      </c>
    </row>
    <row r="83" spans="1:11" ht="80.25" customHeight="1">
      <c r="A83" s="154" t="s">
        <v>496</v>
      </c>
      <c r="B83" s="156" t="s">
        <v>151</v>
      </c>
      <c r="C83" s="156" t="s">
        <v>191</v>
      </c>
      <c r="D83" s="156" t="s">
        <v>192</v>
      </c>
      <c r="E83" s="156"/>
      <c r="F83" s="148" t="s">
        <v>479</v>
      </c>
      <c r="G83" s="147"/>
      <c r="H83" s="147"/>
      <c r="I83" s="155">
        <f aca="true" t="shared" si="5" ref="I83:K85">I84</f>
        <v>50000</v>
      </c>
      <c r="J83" s="155">
        <f t="shared" si="5"/>
        <v>50000</v>
      </c>
      <c r="K83" s="155">
        <f t="shared" si="5"/>
        <v>50000</v>
      </c>
    </row>
    <row r="84" spans="1:11" ht="36.75" customHeight="1">
      <c r="A84" s="154" t="s">
        <v>167</v>
      </c>
      <c r="B84" s="156" t="s">
        <v>151</v>
      </c>
      <c r="C84" s="156" t="s">
        <v>191</v>
      </c>
      <c r="D84" s="156" t="s">
        <v>192</v>
      </c>
      <c r="E84" s="156"/>
      <c r="F84" s="148" t="s">
        <v>479</v>
      </c>
      <c r="G84" s="147">
        <v>244</v>
      </c>
      <c r="H84" s="147"/>
      <c r="I84" s="155">
        <f t="shared" si="5"/>
        <v>50000</v>
      </c>
      <c r="J84" s="155">
        <f t="shared" si="5"/>
        <v>50000</v>
      </c>
      <c r="K84" s="155">
        <f t="shared" si="5"/>
        <v>50000</v>
      </c>
    </row>
    <row r="85" spans="1:11" ht="26.25" customHeight="1">
      <c r="A85" s="154" t="s">
        <v>278</v>
      </c>
      <c r="B85" s="156" t="s">
        <v>151</v>
      </c>
      <c r="C85" s="156" t="s">
        <v>191</v>
      </c>
      <c r="D85" s="156" t="s">
        <v>192</v>
      </c>
      <c r="E85" s="156"/>
      <c r="F85" s="148" t="s">
        <v>479</v>
      </c>
      <c r="G85" s="147">
        <v>244</v>
      </c>
      <c r="H85" s="147"/>
      <c r="I85" s="155">
        <f t="shared" si="5"/>
        <v>50000</v>
      </c>
      <c r="J85" s="155">
        <f t="shared" si="5"/>
        <v>50000</v>
      </c>
      <c r="K85" s="155">
        <f t="shared" si="5"/>
        <v>50000</v>
      </c>
    </row>
    <row r="86" spans="1:11" ht="26.25" customHeight="1">
      <c r="A86" s="154" t="s">
        <v>169</v>
      </c>
      <c r="B86" s="156" t="s">
        <v>151</v>
      </c>
      <c r="C86" s="156" t="s">
        <v>191</v>
      </c>
      <c r="D86" s="156" t="s">
        <v>192</v>
      </c>
      <c r="E86" s="156"/>
      <c r="F86" s="148" t="s">
        <v>479</v>
      </c>
      <c r="G86" s="147">
        <v>244</v>
      </c>
      <c r="H86" s="147"/>
      <c r="I86" s="155">
        <v>50000</v>
      </c>
      <c r="J86" s="147">
        <v>50000</v>
      </c>
      <c r="K86" s="147">
        <v>50000</v>
      </c>
    </row>
    <row r="87" spans="1:11" ht="13.5" customHeight="1" hidden="1">
      <c r="A87" s="157" t="s">
        <v>19</v>
      </c>
      <c r="B87" s="156" t="s">
        <v>151</v>
      </c>
      <c r="C87" s="156" t="s">
        <v>191</v>
      </c>
      <c r="D87" s="156" t="s">
        <v>204</v>
      </c>
      <c r="E87" s="156" t="s">
        <v>205</v>
      </c>
      <c r="F87" s="168" t="s">
        <v>343</v>
      </c>
      <c r="G87" s="147">
        <v>244</v>
      </c>
      <c r="H87" s="147">
        <v>290</v>
      </c>
      <c r="I87" s="155">
        <v>5000</v>
      </c>
      <c r="J87" s="155">
        <v>5000</v>
      </c>
      <c r="K87" s="155">
        <v>5000</v>
      </c>
    </row>
    <row r="88" spans="1:11" ht="13.5" customHeight="1" hidden="1">
      <c r="A88" s="157" t="s">
        <v>170</v>
      </c>
      <c r="B88" s="156" t="s">
        <v>151</v>
      </c>
      <c r="C88" s="156" t="s">
        <v>191</v>
      </c>
      <c r="D88" s="156" t="s">
        <v>204</v>
      </c>
      <c r="E88" s="156" t="s">
        <v>205</v>
      </c>
      <c r="F88" s="168" t="s">
        <v>343</v>
      </c>
      <c r="G88" s="147">
        <v>244</v>
      </c>
      <c r="H88" s="147"/>
      <c r="I88" s="155">
        <v>0</v>
      </c>
      <c r="J88" s="147">
        <v>0</v>
      </c>
      <c r="K88" s="147">
        <v>0</v>
      </c>
    </row>
    <row r="89" spans="1:11" ht="39" customHeight="1" hidden="1">
      <c r="A89" s="157" t="s">
        <v>22</v>
      </c>
      <c r="B89" s="156" t="s">
        <v>151</v>
      </c>
      <c r="C89" s="156" t="s">
        <v>191</v>
      </c>
      <c r="D89" s="156" t="s">
        <v>204</v>
      </c>
      <c r="E89" s="156" t="s">
        <v>205</v>
      </c>
      <c r="F89" s="168" t="s">
        <v>343</v>
      </c>
      <c r="G89" s="147">
        <v>244</v>
      </c>
      <c r="H89" s="147"/>
      <c r="I89" s="155">
        <v>0</v>
      </c>
      <c r="J89" s="147">
        <v>0</v>
      </c>
      <c r="K89" s="147">
        <v>0</v>
      </c>
    </row>
    <row r="90" spans="1:11" ht="12.75" customHeight="1">
      <c r="A90" s="146" t="s">
        <v>267</v>
      </c>
      <c r="B90" s="159" t="s">
        <v>151</v>
      </c>
      <c r="C90" s="159" t="s">
        <v>188</v>
      </c>
      <c r="D90" s="159" t="s">
        <v>126</v>
      </c>
      <c r="E90" s="159" t="s">
        <v>127</v>
      </c>
      <c r="F90" s="149" t="s">
        <v>297</v>
      </c>
      <c r="G90" s="159"/>
      <c r="H90" s="159" t="s">
        <v>128</v>
      </c>
      <c r="I90" s="158">
        <f>I92+I102</f>
        <v>3344080.95</v>
      </c>
      <c r="J90" s="158">
        <f>J92+J102</f>
        <v>2074450</v>
      </c>
      <c r="K90" s="158">
        <f>K92+K102</f>
        <v>2237730</v>
      </c>
    </row>
    <row r="91" spans="1:11" ht="0.75" customHeight="1">
      <c r="A91" s="157" t="s">
        <v>22</v>
      </c>
      <c r="B91" s="156" t="s">
        <v>151</v>
      </c>
      <c r="C91" s="156" t="s">
        <v>188</v>
      </c>
      <c r="D91" s="156" t="s">
        <v>130</v>
      </c>
      <c r="E91" s="165" t="s">
        <v>193</v>
      </c>
      <c r="F91" s="149"/>
      <c r="G91" s="156" t="s">
        <v>194</v>
      </c>
      <c r="H91" s="156" t="s">
        <v>168</v>
      </c>
      <c r="I91" s="148">
        <v>2810</v>
      </c>
      <c r="J91" s="147">
        <v>2810</v>
      </c>
      <c r="K91" s="147">
        <v>2810</v>
      </c>
    </row>
    <row r="92" spans="1:11" ht="13.5">
      <c r="A92" s="169" t="s">
        <v>265</v>
      </c>
      <c r="B92" s="156" t="s">
        <v>151</v>
      </c>
      <c r="C92" s="156" t="s">
        <v>188</v>
      </c>
      <c r="D92" s="156" t="s">
        <v>192</v>
      </c>
      <c r="E92" s="147" t="s">
        <v>127</v>
      </c>
      <c r="F92" s="147" t="s">
        <v>305</v>
      </c>
      <c r="G92" s="156"/>
      <c r="H92" s="156" t="s">
        <v>128</v>
      </c>
      <c r="I92" s="155">
        <f aca="true" t="shared" si="6" ref="I92:K93">I93</f>
        <v>3264080.95</v>
      </c>
      <c r="J92" s="155">
        <f t="shared" si="6"/>
        <v>2039450</v>
      </c>
      <c r="K92" s="155">
        <f t="shared" si="6"/>
        <v>2202730</v>
      </c>
    </row>
    <row r="93" spans="1:11" ht="13.5">
      <c r="A93" s="170" t="s">
        <v>202</v>
      </c>
      <c r="B93" s="156" t="s">
        <v>151</v>
      </c>
      <c r="C93" s="156" t="s">
        <v>188</v>
      </c>
      <c r="D93" s="156" t="s">
        <v>192</v>
      </c>
      <c r="E93" s="147" t="s">
        <v>127</v>
      </c>
      <c r="F93" s="147" t="s">
        <v>480</v>
      </c>
      <c r="G93" s="156"/>
      <c r="H93" s="156" t="s">
        <v>128</v>
      </c>
      <c r="I93" s="155">
        <f t="shared" si="6"/>
        <v>3264080.95</v>
      </c>
      <c r="J93" s="155">
        <f t="shared" si="6"/>
        <v>2039450</v>
      </c>
      <c r="K93" s="155">
        <f t="shared" si="6"/>
        <v>2202730</v>
      </c>
    </row>
    <row r="94" spans="1:11" ht="13.5">
      <c r="A94" s="170" t="s">
        <v>245</v>
      </c>
      <c r="B94" s="156" t="s">
        <v>151</v>
      </c>
      <c r="C94" s="156" t="s">
        <v>188</v>
      </c>
      <c r="D94" s="156" t="s">
        <v>192</v>
      </c>
      <c r="E94" s="147" t="s">
        <v>127</v>
      </c>
      <c r="F94" s="147" t="s">
        <v>481</v>
      </c>
      <c r="G94" s="156"/>
      <c r="H94" s="156" t="s">
        <v>128</v>
      </c>
      <c r="I94" s="155">
        <f>I96</f>
        <v>3264080.95</v>
      </c>
      <c r="J94" s="155">
        <f>J96</f>
        <v>2039450</v>
      </c>
      <c r="K94" s="155">
        <f>K96</f>
        <v>2202730</v>
      </c>
    </row>
    <row r="95" spans="1:11" ht="40.5">
      <c r="A95" s="154" t="s">
        <v>167</v>
      </c>
      <c r="B95" s="156" t="s">
        <v>151</v>
      </c>
      <c r="C95" s="156" t="s">
        <v>188</v>
      </c>
      <c r="D95" s="156" t="s">
        <v>192</v>
      </c>
      <c r="E95" s="147" t="s">
        <v>127</v>
      </c>
      <c r="F95" s="147" t="s">
        <v>481</v>
      </c>
      <c r="G95" s="156" t="s">
        <v>133</v>
      </c>
      <c r="H95" s="156"/>
      <c r="I95" s="155">
        <f aca="true" t="shared" si="7" ref="I95:K96">I96</f>
        <v>3264080.95</v>
      </c>
      <c r="J95" s="155">
        <f t="shared" si="7"/>
        <v>2039450</v>
      </c>
      <c r="K95" s="155">
        <f t="shared" si="7"/>
        <v>2202730</v>
      </c>
    </row>
    <row r="96" spans="1:11" ht="28.5" customHeight="1">
      <c r="A96" s="154" t="s">
        <v>278</v>
      </c>
      <c r="B96" s="156" t="s">
        <v>151</v>
      </c>
      <c r="C96" s="156" t="s">
        <v>188</v>
      </c>
      <c r="D96" s="156" t="s">
        <v>192</v>
      </c>
      <c r="E96" s="147" t="s">
        <v>127</v>
      </c>
      <c r="F96" s="147" t="s">
        <v>481</v>
      </c>
      <c r="G96" s="156" t="s">
        <v>279</v>
      </c>
      <c r="H96" s="156"/>
      <c r="I96" s="155">
        <f t="shared" si="7"/>
        <v>3264080.95</v>
      </c>
      <c r="J96" s="155">
        <f t="shared" si="7"/>
        <v>2039450</v>
      </c>
      <c r="K96" s="155">
        <f t="shared" si="7"/>
        <v>2202730</v>
      </c>
    </row>
    <row r="97" spans="1:11" ht="23.25" customHeight="1">
      <c r="A97" s="154" t="s">
        <v>169</v>
      </c>
      <c r="B97" s="156" t="s">
        <v>151</v>
      </c>
      <c r="C97" s="156" t="s">
        <v>188</v>
      </c>
      <c r="D97" s="156" t="s">
        <v>192</v>
      </c>
      <c r="E97" s="147" t="s">
        <v>127</v>
      </c>
      <c r="F97" s="147" t="s">
        <v>481</v>
      </c>
      <c r="G97" s="156" t="s">
        <v>194</v>
      </c>
      <c r="H97" s="156" t="s">
        <v>128</v>
      </c>
      <c r="I97" s="155">
        <f>1945590+1318490.95</f>
        <v>3264080.95</v>
      </c>
      <c r="J97" s="155">
        <v>2039450</v>
      </c>
      <c r="K97" s="155">
        <v>2202730</v>
      </c>
    </row>
    <row r="98" spans="1:11" ht="18" customHeight="1" hidden="1">
      <c r="A98" s="157" t="s">
        <v>17</v>
      </c>
      <c r="B98" s="156" t="s">
        <v>151</v>
      </c>
      <c r="C98" s="156" t="s">
        <v>188</v>
      </c>
      <c r="D98" s="156" t="s">
        <v>192</v>
      </c>
      <c r="E98" s="171" t="s">
        <v>201</v>
      </c>
      <c r="F98" s="147" t="s">
        <v>301</v>
      </c>
      <c r="G98" s="147">
        <v>244</v>
      </c>
      <c r="H98" s="147"/>
      <c r="I98" s="155">
        <v>312906.01</v>
      </c>
      <c r="J98" s="155">
        <v>1168760</v>
      </c>
      <c r="K98" s="155">
        <v>1295800</v>
      </c>
    </row>
    <row r="99" spans="1:11" ht="21.75" customHeight="1" hidden="1">
      <c r="A99" s="157" t="s">
        <v>170</v>
      </c>
      <c r="B99" s="156" t="s">
        <v>151</v>
      </c>
      <c r="C99" s="156" t="s">
        <v>188</v>
      </c>
      <c r="D99" s="156" t="s">
        <v>192</v>
      </c>
      <c r="E99" s="171" t="s">
        <v>201</v>
      </c>
      <c r="F99" s="147" t="s">
        <v>301</v>
      </c>
      <c r="G99" s="147">
        <v>244</v>
      </c>
      <c r="H99" s="147"/>
      <c r="I99" s="155">
        <v>289560.99</v>
      </c>
      <c r="J99" s="167">
        <v>416640</v>
      </c>
      <c r="K99" s="167">
        <v>481740</v>
      </c>
    </row>
    <row r="100" spans="1:11" ht="0.75" customHeight="1">
      <c r="A100" s="157" t="s">
        <v>21</v>
      </c>
      <c r="B100" s="156" t="s">
        <v>151</v>
      </c>
      <c r="C100" s="156" t="s">
        <v>188</v>
      </c>
      <c r="D100" s="156" t="s">
        <v>192</v>
      </c>
      <c r="E100" s="171" t="s">
        <v>201</v>
      </c>
      <c r="F100" s="147" t="s">
        <v>301</v>
      </c>
      <c r="G100" s="147">
        <v>244</v>
      </c>
      <c r="H100" s="147"/>
      <c r="I100" s="155">
        <f>950000+1000000</f>
        <v>1950000</v>
      </c>
      <c r="J100" s="167">
        <v>400000</v>
      </c>
      <c r="K100" s="167">
        <v>1000000</v>
      </c>
    </row>
    <row r="101" spans="1:11" ht="0.75" customHeight="1">
      <c r="A101" s="157" t="s">
        <v>22</v>
      </c>
      <c r="B101" s="156" t="s">
        <v>151</v>
      </c>
      <c r="C101" s="156" t="s">
        <v>188</v>
      </c>
      <c r="D101" s="156" t="s">
        <v>192</v>
      </c>
      <c r="E101" s="171" t="s">
        <v>201</v>
      </c>
      <c r="F101" s="147" t="s">
        <v>301</v>
      </c>
      <c r="G101" s="147">
        <v>244</v>
      </c>
      <c r="H101" s="147"/>
      <c r="I101" s="190">
        <f>150000+275106.14</f>
        <v>425106.14</v>
      </c>
      <c r="J101" s="147">
        <v>200000</v>
      </c>
      <c r="K101" s="147">
        <v>250000</v>
      </c>
    </row>
    <row r="102" spans="1:11" ht="34.5" customHeight="1">
      <c r="A102" s="146" t="s">
        <v>349</v>
      </c>
      <c r="B102" s="159" t="s">
        <v>151</v>
      </c>
      <c r="C102" s="172" t="s">
        <v>188</v>
      </c>
      <c r="D102" s="172" t="s">
        <v>351</v>
      </c>
      <c r="E102" s="172" t="s">
        <v>127</v>
      </c>
      <c r="F102" s="149" t="s">
        <v>482</v>
      </c>
      <c r="G102" s="172"/>
      <c r="H102" s="172" t="s">
        <v>128</v>
      </c>
      <c r="I102" s="158">
        <f aca="true" t="shared" si="8" ref="I102:K103">I103</f>
        <v>80000</v>
      </c>
      <c r="J102" s="158">
        <f t="shared" si="8"/>
        <v>35000</v>
      </c>
      <c r="K102" s="158">
        <f t="shared" si="8"/>
        <v>35000</v>
      </c>
    </row>
    <row r="103" spans="1:11" ht="40.5">
      <c r="A103" s="173" t="s">
        <v>350</v>
      </c>
      <c r="B103" s="159" t="s">
        <v>151</v>
      </c>
      <c r="C103" s="172" t="s">
        <v>188</v>
      </c>
      <c r="D103" s="172" t="s">
        <v>351</v>
      </c>
      <c r="E103" s="172" t="s">
        <v>127</v>
      </c>
      <c r="F103" s="149" t="s">
        <v>483</v>
      </c>
      <c r="G103" s="172"/>
      <c r="H103" s="172" t="s">
        <v>128</v>
      </c>
      <c r="I103" s="158">
        <f t="shared" si="8"/>
        <v>80000</v>
      </c>
      <c r="J103" s="158">
        <f t="shared" si="8"/>
        <v>35000</v>
      </c>
      <c r="K103" s="158">
        <f t="shared" si="8"/>
        <v>35000</v>
      </c>
    </row>
    <row r="104" spans="1:11" ht="40.5">
      <c r="A104" s="154" t="s">
        <v>167</v>
      </c>
      <c r="B104" s="156" t="s">
        <v>151</v>
      </c>
      <c r="C104" s="172" t="s">
        <v>188</v>
      </c>
      <c r="D104" s="172" t="s">
        <v>351</v>
      </c>
      <c r="E104" s="172" t="s">
        <v>127</v>
      </c>
      <c r="F104" s="149" t="s">
        <v>483</v>
      </c>
      <c r="G104" s="174" t="s">
        <v>133</v>
      </c>
      <c r="H104" s="172"/>
      <c r="I104" s="158">
        <f aca="true" t="shared" si="9" ref="I104:K106">I105</f>
        <v>80000</v>
      </c>
      <c r="J104" s="158">
        <f t="shared" si="9"/>
        <v>35000</v>
      </c>
      <c r="K104" s="158">
        <f t="shared" si="9"/>
        <v>35000</v>
      </c>
    </row>
    <row r="105" spans="1:11" ht="27">
      <c r="A105" s="154" t="s">
        <v>278</v>
      </c>
      <c r="B105" s="156" t="s">
        <v>151</v>
      </c>
      <c r="C105" s="172" t="s">
        <v>188</v>
      </c>
      <c r="D105" s="172" t="s">
        <v>351</v>
      </c>
      <c r="E105" s="172" t="s">
        <v>127</v>
      </c>
      <c r="F105" s="149" t="s">
        <v>483</v>
      </c>
      <c r="G105" s="174" t="s">
        <v>279</v>
      </c>
      <c r="H105" s="172"/>
      <c r="I105" s="158">
        <f t="shared" si="9"/>
        <v>80000</v>
      </c>
      <c r="J105" s="158">
        <f t="shared" si="9"/>
        <v>35000</v>
      </c>
      <c r="K105" s="158">
        <f t="shared" si="9"/>
        <v>35000</v>
      </c>
    </row>
    <row r="106" spans="1:11" ht="27.75" customHeight="1">
      <c r="A106" s="154" t="s">
        <v>283</v>
      </c>
      <c r="B106" s="156" t="s">
        <v>151</v>
      </c>
      <c r="C106" s="172" t="s">
        <v>188</v>
      </c>
      <c r="D106" s="172" t="s">
        <v>351</v>
      </c>
      <c r="E106" s="172" t="s">
        <v>127</v>
      </c>
      <c r="F106" s="149" t="s">
        <v>483</v>
      </c>
      <c r="G106" s="174" t="s">
        <v>194</v>
      </c>
      <c r="H106" s="174" t="s">
        <v>128</v>
      </c>
      <c r="I106" s="155">
        <f>80000</f>
        <v>80000</v>
      </c>
      <c r="J106" s="155">
        <f t="shared" si="9"/>
        <v>35000</v>
      </c>
      <c r="K106" s="155">
        <f t="shared" si="9"/>
        <v>35000</v>
      </c>
    </row>
    <row r="107" spans="1:11" ht="0.75" customHeight="1">
      <c r="A107" s="157" t="s">
        <v>170</v>
      </c>
      <c r="B107" s="156" t="s">
        <v>151</v>
      </c>
      <c r="C107" s="172" t="s">
        <v>188</v>
      </c>
      <c r="D107" s="172" t="s">
        <v>351</v>
      </c>
      <c r="E107" s="172" t="s">
        <v>127</v>
      </c>
      <c r="F107" s="149" t="s">
        <v>352</v>
      </c>
      <c r="G107" s="174" t="s">
        <v>194</v>
      </c>
      <c r="H107" s="174" t="s">
        <v>168</v>
      </c>
      <c r="I107" s="155">
        <f>35000+198000+11503-102967.6-119535.4</f>
        <v>22000</v>
      </c>
      <c r="J107" s="147">
        <v>35000</v>
      </c>
      <c r="K107" s="147">
        <v>35000</v>
      </c>
    </row>
    <row r="108" spans="1:11" ht="13.5">
      <c r="A108" s="146" t="s">
        <v>75</v>
      </c>
      <c r="B108" s="159" t="s">
        <v>151</v>
      </c>
      <c r="C108" s="172" t="s">
        <v>190</v>
      </c>
      <c r="D108" s="172" t="s">
        <v>126</v>
      </c>
      <c r="E108" s="172" t="s">
        <v>127</v>
      </c>
      <c r="F108" s="149" t="s">
        <v>480</v>
      </c>
      <c r="G108" s="171"/>
      <c r="H108" s="171"/>
      <c r="I108" s="155">
        <f>I115+I109</f>
        <v>800100</v>
      </c>
      <c r="J108" s="155">
        <f>J115+J109</f>
        <v>526295</v>
      </c>
      <c r="K108" s="155">
        <f>K115+K109</f>
        <v>465170</v>
      </c>
    </row>
    <row r="109" spans="1:11" ht="13.5">
      <c r="A109" s="146" t="s">
        <v>364</v>
      </c>
      <c r="B109" s="159" t="s">
        <v>151</v>
      </c>
      <c r="C109" s="172" t="s">
        <v>190</v>
      </c>
      <c r="D109" s="172" t="s">
        <v>153</v>
      </c>
      <c r="E109" s="172"/>
      <c r="F109" s="149" t="s">
        <v>484</v>
      </c>
      <c r="G109" s="171"/>
      <c r="H109" s="171"/>
      <c r="I109" s="155">
        <f aca="true" t="shared" si="10" ref="I109:K111">I110</f>
        <v>242000</v>
      </c>
      <c r="J109" s="155">
        <f t="shared" si="10"/>
        <v>35570</v>
      </c>
      <c r="K109" s="155">
        <f t="shared" si="10"/>
        <v>21070</v>
      </c>
    </row>
    <row r="110" spans="1:11" ht="27">
      <c r="A110" s="146" t="s">
        <v>365</v>
      </c>
      <c r="B110" s="159" t="s">
        <v>151</v>
      </c>
      <c r="C110" s="172" t="s">
        <v>190</v>
      </c>
      <c r="D110" s="172" t="s">
        <v>153</v>
      </c>
      <c r="E110" s="172"/>
      <c r="F110" s="149" t="s">
        <v>485</v>
      </c>
      <c r="G110" s="171"/>
      <c r="H110" s="171"/>
      <c r="I110" s="155">
        <f t="shared" si="10"/>
        <v>242000</v>
      </c>
      <c r="J110" s="155">
        <f t="shared" si="10"/>
        <v>35570</v>
      </c>
      <c r="K110" s="155">
        <f t="shared" si="10"/>
        <v>21070</v>
      </c>
    </row>
    <row r="111" spans="1:11" ht="40.5">
      <c r="A111" s="154" t="s">
        <v>167</v>
      </c>
      <c r="B111" s="159" t="s">
        <v>151</v>
      </c>
      <c r="C111" s="172" t="s">
        <v>190</v>
      </c>
      <c r="D111" s="172" t="s">
        <v>153</v>
      </c>
      <c r="E111" s="172"/>
      <c r="F111" s="149" t="s">
        <v>485</v>
      </c>
      <c r="G111" s="171" t="s">
        <v>133</v>
      </c>
      <c r="H111" s="171"/>
      <c r="I111" s="155">
        <f t="shared" si="10"/>
        <v>242000</v>
      </c>
      <c r="J111" s="155">
        <f t="shared" si="10"/>
        <v>35570</v>
      </c>
      <c r="K111" s="155">
        <f t="shared" si="10"/>
        <v>21070</v>
      </c>
    </row>
    <row r="112" spans="1:11" ht="26.25" customHeight="1">
      <c r="A112" s="154" t="s">
        <v>278</v>
      </c>
      <c r="B112" s="159" t="s">
        <v>151</v>
      </c>
      <c r="C112" s="172" t="s">
        <v>190</v>
      </c>
      <c r="D112" s="172" t="s">
        <v>153</v>
      </c>
      <c r="E112" s="172"/>
      <c r="F112" s="149" t="s">
        <v>485</v>
      </c>
      <c r="G112" s="171" t="s">
        <v>279</v>
      </c>
      <c r="H112" s="171"/>
      <c r="I112" s="155">
        <f>I113+I114</f>
        <v>242000</v>
      </c>
      <c r="J112" s="155">
        <f>J113</f>
        <v>35570</v>
      </c>
      <c r="K112" s="155">
        <f>K113</f>
        <v>21070</v>
      </c>
    </row>
    <row r="113" spans="1:11" ht="21" customHeight="1">
      <c r="A113" s="154" t="s">
        <v>283</v>
      </c>
      <c r="B113" s="159" t="s">
        <v>151</v>
      </c>
      <c r="C113" s="172" t="s">
        <v>190</v>
      </c>
      <c r="D113" s="172" t="s">
        <v>153</v>
      </c>
      <c r="E113" s="172"/>
      <c r="F113" s="149" t="s">
        <v>485</v>
      </c>
      <c r="G113" s="171" t="s">
        <v>194</v>
      </c>
      <c r="H113" s="171"/>
      <c r="I113" s="155">
        <f>320000-78000</f>
        <v>242000</v>
      </c>
      <c r="J113" s="155">
        <f>J114</f>
        <v>35570</v>
      </c>
      <c r="K113" s="155">
        <f>K114</f>
        <v>21070</v>
      </c>
    </row>
    <row r="114" spans="1:11" ht="20.25" customHeight="1" hidden="1">
      <c r="A114" s="157" t="s">
        <v>22</v>
      </c>
      <c r="B114" s="159" t="s">
        <v>151</v>
      </c>
      <c r="C114" s="172" t="s">
        <v>190</v>
      </c>
      <c r="D114" s="172" t="s">
        <v>153</v>
      </c>
      <c r="E114" s="172"/>
      <c r="F114" s="149" t="s">
        <v>366</v>
      </c>
      <c r="G114" s="171" t="s">
        <v>194</v>
      </c>
      <c r="H114" s="171"/>
      <c r="I114" s="155">
        <f>8000-8000</f>
        <v>0</v>
      </c>
      <c r="J114" s="155">
        <v>35570</v>
      </c>
      <c r="K114" s="155">
        <v>21070</v>
      </c>
    </row>
    <row r="115" spans="1:11" ht="13.5">
      <c r="A115" s="146" t="s">
        <v>264</v>
      </c>
      <c r="B115" s="149" t="s">
        <v>108</v>
      </c>
      <c r="C115" s="149" t="s">
        <v>73</v>
      </c>
      <c r="D115" s="149" t="s">
        <v>43</v>
      </c>
      <c r="E115" s="149" t="s">
        <v>3</v>
      </c>
      <c r="F115" s="149" t="s">
        <v>486</v>
      </c>
      <c r="G115" s="149"/>
      <c r="H115" s="175" t="s">
        <v>128</v>
      </c>
      <c r="I115" s="158">
        <f>I116+I123+I131+I136</f>
        <v>558100</v>
      </c>
      <c r="J115" s="158">
        <f>J116+J123+J131+J136</f>
        <v>490725</v>
      </c>
      <c r="K115" s="158">
        <f>K116+K123+K131+K136</f>
        <v>444100</v>
      </c>
    </row>
    <row r="116" spans="1:11" ht="40.5">
      <c r="A116" s="146" t="s">
        <v>261</v>
      </c>
      <c r="B116" s="149" t="s">
        <v>108</v>
      </c>
      <c r="C116" s="149" t="s">
        <v>73</v>
      </c>
      <c r="D116" s="149" t="s">
        <v>43</v>
      </c>
      <c r="E116" s="149" t="s">
        <v>139</v>
      </c>
      <c r="F116" s="149" t="s">
        <v>486</v>
      </c>
      <c r="G116" s="149"/>
      <c r="H116" s="175" t="s">
        <v>128</v>
      </c>
      <c r="I116" s="158">
        <f>I117+I120</f>
        <v>543100</v>
      </c>
      <c r="J116" s="158">
        <f>J117+J120</f>
        <v>475725</v>
      </c>
      <c r="K116" s="158">
        <f>K117+K120</f>
        <v>429100</v>
      </c>
    </row>
    <row r="117" spans="1:11" ht="40.5">
      <c r="A117" s="154" t="s">
        <v>167</v>
      </c>
      <c r="B117" s="147" t="s">
        <v>108</v>
      </c>
      <c r="C117" s="147" t="s">
        <v>73</v>
      </c>
      <c r="D117" s="147" t="s">
        <v>43</v>
      </c>
      <c r="E117" s="147" t="s">
        <v>139</v>
      </c>
      <c r="F117" s="149" t="s">
        <v>487</v>
      </c>
      <c r="G117" s="147">
        <v>200</v>
      </c>
      <c r="H117" s="175"/>
      <c r="I117" s="158">
        <f aca="true" t="shared" si="11" ref="I117:K118">I118</f>
        <v>129800</v>
      </c>
      <c r="J117" s="158">
        <f t="shared" si="11"/>
        <v>75725</v>
      </c>
      <c r="K117" s="158">
        <f t="shared" si="11"/>
        <v>29100</v>
      </c>
    </row>
    <row r="118" spans="1:11" ht="27">
      <c r="A118" s="154" t="s">
        <v>278</v>
      </c>
      <c r="B118" s="147" t="s">
        <v>108</v>
      </c>
      <c r="C118" s="147" t="s">
        <v>73</v>
      </c>
      <c r="D118" s="147" t="s">
        <v>43</v>
      </c>
      <c r="E118" s="147" t="s">
        <v>139</v>
      </c>
      <c r="F118" s="149" t="s">
        <v>487</v>
      </c>
      <c r="G118" s="147">
        <v>240</v>
      </c>
      <c r="H118" s="175"/>
      <c r="I118" s="158">
        <f t="shared" si="11"/>
        <v>129800</v>
      </c>
      <c r="J118" s="158">
        <f t="shared" si="11"/>
        <v>75725</v>
      </c>
      <c r="K118" s="158">
        <f t="shared" si="11"/>
        <v>29100</v>
      </c>
    </row>
    <row r="119" spans="1:11" ht="48" customHeight="1">
      <c r="A119" s="154" t="s">
        <v>169</v>
      </c>
      <c r="B119" s="147" t="s">
        <v>108</v>
      </c>
      <c r="C119" s="147" t="s">
        <v>73</v>
      </c>
      <c r="D119" s="147" t="s">
        <v>43</v>
      </c>
      <c r="E119" s="147" t="s">
        <v>139</v>
      </c>
      <c r="F119" s="149" t="s">
        <v>487</v>
      </c>
      <c r="G119" s="147">
        <v>244</v>
      </c>
      <c r="H119" s="175" t="s">
        <v>128</v>
      </c>
      <c r="I119" s="155">
        <f>221700+9000+5000+100000+15000-220900</f>
        <v>129800</v>
      </c>
      <c r="J119" s="155">
        <f>320000-23375-220900</f>
        <v>75725</v>
      </c>
      <c r="K119" s="155">
        <f>250000-220900</f>
        <v>29100</v>
      </c>
    </row>
    <row r="120" spans="1:11" ht="26.25" customHeight="1">
      <c r="A120" s="157" t="s">
        <v>488</v>
      </c>
      <c r="B120" s="241" t="s">
        <v>108</v>
      </c>
      <c r="C120" s="241" t="s">
        <v>73</v>
      </c>
      <c r="D120" s="241" t="s">
        <v>43</v>
      </c>
      <c r="E120" s="241"/>
      <c r="F120" s="242" t="s">
        <v>489</v>
      </c>
      <c r="G120" s="147">
        <v>244</v>
      </c>
      <c r="H120" s="175"/>
      <c r="I120" s="155">
        <v>413300</v>
      </c>
      <c r="J120" s="155">
        <v>400000</v>
      </c>
      <c r="K120" s="155">
        <v>400000</v>
      </c>
    </row>
    <row r="121" spans="1:11" ht="0.75" customHeight="1">
      <c r="A121" s="157" t="s">
        <v>140</v>
      </c>
      <c r="B121" s="147" t="s">
        <v>108</v>
      </c>
      <c r="C121" s="147" t="s">
        <v>73</v>
      </c>
      <c r="D121" s="147" t="s">
        <v>43</v>
      </c>
      <c r="E121" s="147" t="s">
        <v>139</v>
      </c>
      <c r="F121" s="147" t="s">
        <v>348</v>
      </c>
      <c r="G121" s="147">
        <v>244</v>
      </c>
      <c r="H121" s="147">
        <v>340</v>
      </c>
      <c r="I121" s="155">
        <v>23819.6</v>
      </c>
      <c r="J121" s="147">
        <v>0</v>
      </c>
      <c r="K121" s="147">
        <v>0</v>
      </c>
    </row>
    <row r="122" spans="1:11" ht="18.75" customHeight="1" hidden="1">
      <c r="A122" s="157" t="s">
        <v>21</v>
      </c>
      <c r="B122" s="147" t="s">
        <v>108</v>
      </c>
      <c r="C122" s="147" t="s">
        <v>73</v>
      </c>
      <c r="D122" s="147" t="s">
        <v>43</v>
      </c>
      <c r="E122" s="147" t="s">
        <v>139</v>
      </c>
      <c r="F122" s="147" t="s">
        <v>348</v>
      </c>
      <c r="G122" s="147">
        <v>244</v>
      </c>
      <c r="H122" s="147"/>
      <c r="I122" s="155">
        <v>191473</v>
      </c>
      <c r="J122" s="147">
        <v>0</v>
      </c>
      <c r="K122" s="147">
        <v>0</v>
      </c>
    </row>
    <row r="123" spans="1:11" ht="13.5">
      <c r="A123" s="146" t="s">
        <v>263</v>
      </c>
      <c r="B123" s="159" t="s">
        <v>151</v>
      </c>
      <c r="C123" s="159" t="s">
        <v>190</v>
      </c>
      <c r="D123" s="159" t="s">
        <v>191</v>
      </c>
      <c r="E123" s="159" t="s">
        <v>254</v>
      </c>
      <c r="F123" s="149" t="s">
        <v>302</v>
      </c>
      <c r="G123" s="175"/>
      <c r="H123" s="175" t="s">
        <v>128</v>
      </c>
      <c r="I123" s="158">
        <f>I126</f>
        <v>15000</v>
      </c>
      <c r="J123" s="158">
        <f>J126</f>
        <v>15000</v>
      </c>
      <c r="K123" s="158">
        <f>K126</f>
        <v>15000</v>
      </c>
    </row>
    <row r="124" spans="1:11" ht="40.5">
      <c r="A124" s="154" t="s">
        <v>167</v>
      </c>
      <c r="B124" s="156" t="s">
        <v>151</v>
      </c>
      <c r="C124" s="156" t="s">
        <v>190</v>
      </c>
      <c r="D124" s="156" t="s">
        <v>191</v>
      </c>
      <c r="E124" s="156" t="s">
        <v>254</v>
      </c>
      <c r="F124" s="147" t="s">
        <v>302</v>
      </c>
      <c r="G124" s="171" t="s">
        <v>133</v>
      </c>
      <c r="H124" s="175"/>
      <c r="I124" s="158">
        <f aca="true" t="shared" si="12" ref="I124:K125">I125</f>
        <v>15000</v>
      </c>
      <c r="J124" s="158">
        <f t="shared" si="12"/>
        <v>15000</v>
      </c>
      <c r="K124" s="158">
        <f t="shared" si="12"/>
        <v>15000</v>
      </c>
    </row>
    <row r="125" spans="1:11" ht="27">
      <c r="A125" s="154" t="s">
        <v>278</v>
      </c>
      <c r="B125" s="156" t="s">
        <v>151</v>
      </c>
      <c r="C125" s="156" t="s">
        <v>190</v>
      </c>
      <c r="D125" s="156" t="s">
        <v>191</v>
      </c>
      <c r="E125" s="156" t="s">
        <v>254</v>
      </c>
      <c r="F125" s="147" t="s">
        <v>302</v>
      </c>
      <c r="G125" s="171" t="s">
        <v>279</v>
      </c>
      <c r="H125" s="175"/>
      <c r="I125" s="158">
        <f t="shared" si="12"/>
        <v>15000</v>
      </c>
      <c r="J125" s="158">
        <f t="shared" si="12"/>
        <v>15000</v>
      </c>
      <c r="K125" s="158">
        <f t="shared" si="12"/>
        <v>15000</v>
      </c>
    </row>
    <row r="126" spans="1:11" ht="64.5" customHeight="1">
      <c r="A126" s="154" t="s">
        <v>169</v>
      </c>
      <c r="B126" s="156" t="s">
        <v>151</v>
      </c>
      <c r="C126" s="156" t="s">
        <v>190</v>
      </c>
      <c r="D126" s="156" t="s">
        <v>191</v>
      </c>
      <c r="E126" s="156" t="s">
        <v>254</v>
      </c>
      <c r="F126" s="147" t="s">
        <v>302</v>
      </c>
      <c r="G126" s="147">
        <v>244</v>
      </c>
      <c r="H126" s="175" t="s">
        <v>128</v>
      </c>
      <c r="I126" s="155">
        <v>15000</v>
      </c>
      <c r="J126" s="155">
        <f>J127+J128+J129+J130</f>
        <v>15000</v>
      </c>
      <c r="K126" s="155">
        <f>K127+K128+K129+K130</f>
        <v>15000</v>
      </c>
    </row>
    <row r="127" spans="1:11" ht="22.5" customHeight="1" hidden="1">
      <c r="A127" s="161" t="s">
        <v>107</v>
      </c>
      <c r="B127" s="156" t="s">
        <v>151</v>
      </c>
      <c r="C127" s="156" t="s">
        <v>190</v>
      </c>
      <c r="D127" s="156" t="s">
        <v>191</v>
      </c>
      <c r="E127" s="156" t="s">
        <v>254</v>
      </c>
      <c r="F127" s="147" t="s">
        <v>302</v>
      </c>
      <c r="G127" s="147">
        <v>244</v>
      </c>
      <c r="H127" s="175"/>
      <c r="I127" s="155">
        <f>15000-15000</f>
        <v>0</v>
      </c>
      <c r="J127" s="155">
        <v>15000</v>
      </c>
      <c r="K127" s="155">
        <v>15000</v>
      </c>
    </row>
    <row r="128" spans="1:11" ht="24" customHeight="1" hidden="1">
      <c r="A128" s="157" t="s">
        <v>170</v>
      </c>
      <c r="B128" s="156" t="s">
        <v>151</v>
      </c>
      <c r="C128" s="156" t="s">
        <v>190</v>
      </c>
      <c r="D128" s="156" t="s">
        <v>191</v>
      </c>
      <c r="E128" s="156" t="s">
        <v>254</v>
      </c>
      <c r="F128" s="147" t="s">
        <v>302</v>
      </c>
      <c r="G128" s="147">
        <v>244</v>
      </c>
      <c r="H128" s="175"/>
      <c r="I128" s="155">
        <v>0</v>
      </c>
      <c r="J128" s="155">
        <v>0</v>
      </c>
      <c r="K128" s="155">
        <v>0</v>
      </c>
    </row>
    <row r="129" spans="1:11" ht="24" customHeight="1" hidden="1">
      <c r="A129" s="157" t="s">
        <v>21</v>
      </c>
      <c r="B129" s="156" t="s">
        <v>151</v>
      </c>
      <c r="C129" s="156" t="s">
        <v>190</v>
      </c>
      <c r="D129" s="156" t="s">
        <v>191</v>
      </c>
      <c r="E129" s="156" t="s">
        <v>254</v>
      </c>
      <c r="F129" s="147" t="s">
        <v>302</v>
      </c>
      <c r="G129" s="147">
        <v>244</v>
      </c>
      <c r="H129" s="175"/>
      <c r="I129" s="155">
        <v>0</v>
      </c>
      <c r="J129" s="155">
        <v>0</v>
      </c>
      <c r="K129" s="155">
        <v>0</v>
      </c>
    </row>
    <row r="130" spans="1:11" ht="23.25" customHeight="1" hidden="1">
      <c r="A130" s="157" t="s">
        <v>140</v>
      </c>
      <c r="B130" s="156" t="s">
        <v>151</v>
      </c>
      <c r="C130" s="156" t="s">
        <v>190</v>
      </c>
      <c r="D130" s="156" t="s">
        <v>191</v>
      </c>
      <c r="E130" s="156" t="s">
        <v>254</v>
      </c>
      <c r="F130" s="147" t="s">
        <v>302</v>
      </c>
      <c r="G130" s="147">
        <v>244</v>
      </c>
      <c r="H130" s="147">
        <v>340</v>
      </c>
      <c r="I130" s="155">
        <v>0</v>
      </c>
      <c r="J130" s="147">
        <v>0</v>
      </c>
      <c r="K130" s="147">
        <v>0</v>
      </c>
    </row>
    <row r="131" spans="1:11" ht="0.75" customHeight="1" hidden="1">
      <c r="A131" s="146" t="s">
        <v>262</v>
      </c>
      <c r="B131" s="159" t="s">
        <v>151</v>
      </c>
      <c r="C131" s="159" t="s">
        <v>190</v>
      </c>
      <c r="D131" s="159" t="s">
        <v>191</v>
      </c>
      <c r="E131" s="159" t="s">
        <v>255</v>
      </c>
      <c r="F131" s="149" t="s">
        <v>303</v>
      </c>
      <c r="G131" s="149">
        <v>0</v>
      </c>
      <c r="H131" s="175" t="s">
        <v>128</v>
      </c>
      <c r="I131" s="158">
        <f>I134</f>
        <v>0</v>
      </c>
      <c r="J131" s="158">
        <f>J134</f>
        <v>0</v>
      </c>
      <c r="K131" s="158">
        <f>K134</f>
        <v>0</v>
      </c>
    </row>
    <row r="132" spans="1:11" ht="0.75" customHeight="1" hidden="1">
      <c r="A132" s="154" t="s">
        <v>167</v>
      </c>
      <c r="B132" s="156" t="s">
        <v>151</v>
      </c>
      <c r="C132" s="156" t="s">
        <v>190</v>
      </c>
      <c r="D132" s="156" t="s">
        <v>191</v>
      </c>
      <c r="E132" s="156" t="s">
        <v>255</v>
      </c>
      <c r="F132" s="147" t="s">
        <v>303</v>
      </c>
      <c r="G132" s="147">
        <v>200</v>
      </c>
      <c r="H132" s="175"/>
      <c r="I132" s="158">
        <f>I133</f>
        <v>0</v>
      </c>
      <c r="J132" s="158">
        <f aca="true" t="shared" si="13" ref="J132:K134">J133</f>
        <v>0</v>
      </c>
      <c r="K132" s="158">
        <f t="shared" si="13"/>
        <v>0</v>
      </c>
    </row>
    <row r="133" spans="1:11" ht="22.5" customHeight="1" hidden="1">
      <c r="A133" s="154" t="s">
        <v>278</v>
      </c>
      <c r="B133" s="156" t="s">
        <v>151</v>
      </c>
      <c r="C133" s="156" t="s">
        <v>190</v>
      </c>
      <c r="D133" s="156" t="s">
        <v>191</v>
      </c>
      <c r="E133" s="156" t="s">
        <v>255</v>
      </c>
      <c r="F133" s="147" t="s">
        <v>303</v>
      </c>
      <c r="G133" s="147">
        <v>240</v>
      </c>
      <c r="H133" s="175"/>
      <c r="I133" s="158">
        <f>I134</f>
        <v>0</v>
      </c>
      <c r="J133" s="158">
        <f t="shared" si="13"/>
        <v>0</v>
      </c>
      <c r="K133" s="158">
        <f t="shared" si="13"/>
        <v>0</v>
      </c>
    </row>
    <row r="134" spans="1:11" ht="0.75" customHeight="1" hidden="1">
      <c r="A134" s="154" t="s">
        <v>169</v>
      </c>
      <c r="B134" s="156" t="s">
        <v>151</v>
      </c>
      <c r="C134" s="156" t="s">
        <v>190</v>
      </c>
      <c r="D134" s="156" t="s">
        <v>191</v>
      </c>
      <c r="E134" s="156" t="s">
        <v>255</v>
      </c>
      <c r="F134" s="149" t="s">
        <v>303</v>
      </c>
      <c r="G134" s="147">
        <v>244</v>
      </c>
      <c r="H134" s="175" t="s">
        <v>128</v>
      </c>
      <c r="I134" s="155">
        <f>I135</f>
        <v>0</v>
      </c>
      <c r="J134" s="155">
        <f t="shared" si="13"/>
        <v>0</v>
      </c>
      <c r="K134" s="155">
        <f t="shared" si="13"/>
        <v>0</v>
      </c>
    </row>
    <row r="135" spans="1:11" ht="20.25" customHeight="1" hidden="1">
      <c r="A135" s="157" t="s">
        <v>140</v>
      </c>
      <c r="B135" s="156" t="s">
        <v>151</v>
      </c>
      <c r="C135" s="156" t="s">
        <v>190</v>
      </c>
      <c r="D135" s="156" t="s">
        <v>191</v>
      </c>
      <c r="E135" s="156" t="s">
        <v>255</v>
      </c>
      <c r="F135" s="147"/>
      <c r="G135" s="147">
        <v>244</v>
      </c>
      <c r="H135" s="147">
        <v>340</v>
      </c>
      <c r="I135" s="155">
        <v>0</v>
      </c>
      <c r="J135" s="147"/>
      <c r="K135" s="147"/>
    </row>
    <row r="136" spans="1:11" ht="0.75" customHeight="1" hidden="1">
      <c r="A136" s="146" t="s">
        <v>261</v>
      </c>
      <c r="B136" s="149" t="s">
        <v>108</v>
      </c>
      <c r="C136" s="149" t="s">
        <v>73</v>
      </c>
      <c r="D136" s="149" t="s">
        <v>43</v>
      </c>
      <c r="E136" s="149" t="s">
        <v>141</v>
      </c>
      <c r="F136" s="149" t="s">
        <v>304</v>
      </c>
      <c r="G136" s="149" t="s">
        <v>4</v>
      </c>
      <c r="H136" s="175" t="s">
        <v>128</v>
      </c>
      <c r="I136" s="158">
        <f>SUM(I139)</f>
        <v>0</v>
      </c>
      <c r="J136" s="158">
        <f>SUM(J139)</f>
        <v>0</v>
      </c>
      <c r="K136" s="158">
        <f>SUM(K139)</f>
        <v>0</v>
      </c>
    </row>
    <row r="137" spans="1:11" ht="18.75" customHeight="1" hidden="1">
      <c r="A137" s="154" t="s">
        <v>167</v>
      </c>
      <c r="B137" s="147" t="s">
        <v>108</v>
      </c>
      <c r="C137" s="147" t="s">
        <v>73</v>
      </c>
      <c r="D137" s="147" t="s">
        <v>43</v>
      </c>
      <c r="E137" s="147" t="s">
        <v>141</v>
      </c>
      <c r="F137" s="147" t="s">
        <v>304</v>
      </c>
      <c r="G137" s="147">
        <v>200</v>
      </c>
      <c r="H137" s="175"/>
      <c r="I137" s="158">
        <f aca="true" t="shared" si="14" ref="I137:K138">I138</f>
        <v>0</v>
      </c>
      <c r="J137" s="158">
        <f t="shared" si="14"/>
        <v>0</v>
      </c>
      <c r="K137" s="158">
        <f t="shared" si="14"/>
        <v>0</v>
      </c>
    </row>
    <row r="138" spans="1:11" ht="17.25" customHeight="1" hidden="1">
      <c r="A138" s="154" t="s">
        <v>278</v>
      </c>
      <c r="B138" s="147" t="s">
        <v>108</v>
      </c>
      <c r="C138" s="147" t="s">
        <v>73</v>
      </c>
      <c r="D138" s="147" t="s">
        <v>43</v>
      </c>
      <c r="E138" s="147" t="s">
        <v>141</v>
      </c>
      <c r="F138" s="147" t="s">
        <v>304</v>
      </c>
      <c r="G138" s="147">
        <v>240</v>
      </c>
      <c r="H138" s="175"/>
      <c r="I138" s="158">
        <f t="shared" si="14"/>
        <v>0</v>
      </c>
      <c r="J138" s="158">
        <f t="shared" si="14"/>
        <v>0</v>
      </c>
      <c r="K138" s="158">
        <f t="shared" si="14"/>
        <v>0</v>
      </c>
    </row>
    <row r="139" spans="1:11" ht="2.25" customHeight="1" hidden="1">
      <c r="A139" s="154" t="s">
        <v>169</v>
      </c>
      <c r="B139" s="147" t="s">
        <v>108</v>
      </c>
      <c r="C139" s="147" t="s">
        <v>73</v>
      </c>
      <c r="D139" s="147" t="s">
        <v>43</v>
      </c>
      <c r="E139" s="147" t="s">
        <v>141</v>
      </c>
      <c r="F139" s="147" t="s">
        <v>304</v>
      </c>
      <c r="G139" s="147">
        <v>244</v>
      </c>
      <c r="H139" s="175" t="s">
        <v>128</v>
      </c>
      <c r="I139" s="155">
        <f>I140+I141+I142</f>
        <v>0</v>
      </c>
      <c r="J139" s="155">
        <f>J140+J141+J142</f>
        <v>0</v>
      </c>
      <c r="K139" s="155">
        <f>K140+K141+K142</f>
        <v>0</v>
      </c>
    </row>
    <row r="140" spans="1:11" ht="0.75" customHeight="1" hidden="1">
      <c r="A140" s="157" t="s">
        <v>140</v>
      </c>
      <c r="B140" s="147" t="s">
        <v>108</v>
      </c>
      <c r="C140" s="147" t="s">
        <v>73</v>
      </c>
      <c r="D140" s="147" t="s">
        <v>43</v>
      </c>
      <c r="E140" s="147" t="s">
        <v>141</v>
      </c>
      <c r="F140" s="147"/>
      <c r="G140" s="147">
        <v>244</v>
      </c>
      <c r="H140" s="147"/>
      <c r="I140" s="155">
        <v>0</v>
      </c>
      <c r="J140" s="147"/>
      <c r="K140" s="147"/>
    </row>
    <row r="141" spans="1:11" ht="19.5" customHeight="1" hidden="1">
      <c r="A141" s="157" t="s">
        <v>170</v>
      </c>
      <c r="B141" s="147" t="s">
        <v>108</v>
      </c>
      <c r="C141" s="147" t="s">
        <v>73</v>
      </c>
      <c r="D141" s="147" t="s">
        <v>43</v>
      </c>
      <c r="E141" s="147" t="s">
        <v>141</v>
      </c>
      <c r="F141" s="147"/>
      <c r="G141" s="147">
        <v>244</v>
      </c>
      <c r="H141" s="147">
        <v>226</v>
      </c>
      <c r="I141" s="155">
        <v>0</v>
      </c>
      <c r="J141" s="147"/>
      <c r="K141" s="147"/>
    </row>
    <row r="142" spans="1:11" ht="18" customHeight="1" hidden="1">
      <c r="A142" s="157" t="s">
        <v>21</v>
      </c>
      <c r="B142" s="147" t="s">
        <v>108</v>
      </c>
      <c r="C142" s="147" t="s">
        <v>73</v>
      </c>
      <c r="D142" s="147" t="s">
        <v>43</v>
      </c>
      <c r="E142" s="147" t="s">
        <v>141</v>
      </c>
      <c r="F142" s="147"/>
      <c r="G142" s="147">
        <v>244</v>
      </c>
      <c r="H142" s="147">
        <v>340</v>
      </c>
      <c r="I142" s="155">
        <v>0</v>
      </c>
      <c r="J142" s="147"/>
      <c r="K142" s="147"/>
    </row>
    <row r="143" spans="1:11" ht="25.5" customHeight="1">
      <c r="A143" s="146" t="s">
        <v>40</v>
      </c>
      <c r="B143" s="159" t="s">
        <v>108</v>
      </c>
      <c r="C143" s="152">
        <v>10</v>
      </c>
      <c r="D143" s="159" t="s">
        <v>126</v>
      </c>
      <c r="E143" s="152" t="s">
        <v>127</v>
      </c>
      <c r="F143" s="152" t="s">
        <v>289</v>
      </c>
      <c r="G143" s="159"/>
      <c r="H143" s="175" t="s">
        <v>128</v>
      </c>
      <c r="I143" s="150">
        <f aca="true" t="shared" si="15" ref="I143:K147">I144</f>
        <v>500000</v>
      </c>
      <c r="J143" s="150">
        <f t="shared" si="15"/>
        <v>500000</v>
      </c>
      <c r="K143" s="150">
        <f t="shared" si="15"/>
        <v>500000</v>
      </c>
    </row>
    <row r="144" spans="1:11" ht="22.5" customHeight="1">
      <c r="A144" s="154" t="s">
        <v>129</v>
      </c>
      <c r="B144" s="156" t="s">
        <v>108</v>
      </c>
      <c r="C144" s="176">
        <v>10</v>
      </c>
      <c r="D144" s="156" t="s">
        <v>130</v>
      </c>
      <c r="E144" s="176" t="s">
        <v>127</v>
      </c>
      <c r="F144" s="176" t="s">
        <v>353</v>
      </c>
      <c r="G144" s="156"/>
      <c r="H144" s="175" t="s">
        <v>128</v>
      </c>
      <c r="I144" s="148">
        <f t="shared" si="15"/>
        <v>500000</v>
      </c>
      <c r="J144" s="148">
        <f t="shared" si="15"/>
        <v>500000</v>
      </c>
      <c r="K144" s="148">
        <f t="shared" si="15"/>
        <v>500000</v>
      </c>
    </row>
    <row r="145" spans="1:11" ht="19.5" customHeight="1">
      <c r="A145" s="154" t="s">
        <v>131</v>
      </c>
      <c r="B145" s="156" t="s">
        <v>108</v>
      </c>
      <c r="C145" s="176">
        <v>10</v>
      </c>
      <c r="D145" s="156" t="s">
        <v>130</v>
      </c>
      <c r="E145" s="176" t="s">
        <v>132</v>
      </c>
      <c r="F145" s="176" t="s">
        <v>353</v>
      </c>
      <c r="G145" s="156"/>
      <c r="H145" s="175" t="s">
        <v>128</v>
      </c>
      <c r="I145" s="148">
        <f>I147</f>
        <v>500000</v>
      </c>
      <c r="J145" s="148">
        <f>J147</f>
        <v>500000</v>
      </c>
      <c r="K145" s="148">
        <f>K147</f>
        <v>500000</v>
      </c>
    </row>
    <row r="146" spans="1:11" ht="27">
      <c r="A146" s="154" t="s">
        <v>175</v>
      </c>
      <c r="B146" s="156" t="s">
        <v>108</v>
      </c>
      <c r="C146" s="176">
        <v>10</v>
      </c>
      <c r="D146" s="156" t="s">
        <v>130</v>
      </c>
      <c r="E146" s="176" t="s">
        <v>132</v>
      </c>
      <c r="F146" s="176" t="s">
        <v>353</v>
      </c>
      <c r="G146" s="156" t="s">
        <v>176</v>
      </c>
      <c r="H146" s="175" t="s">
        <v>128</v>
      </c>
      <c r="I146" s="150">
        <f>I147</f>
        <v>500000</v>
      </c>
      <c r="J146" s="150">
        <f>J147</f>
        <v>500000</v>
      </c>
      <c r="K146" s="150">
        <f>K147</f>
        <v>500000</v>
      </c>
    </row>
    <row r="147" spans="1:11" ht="27">
      <c r="A147" s="154" t="s">
        <v>177</v>
      </c>
      <c r="B147" s="156" t="s">
        <v>108</v>
      </c>
      <c r="C147" s="176">
        <v>10</v>
      </c>
      <c r="D147" s="156" t="s">
        <v>130</v>
      </c>
      <c r="E147" s="176" t="s">
        <v>132</v>
      </c>
      <c r="F147" s="176" t="s">
        <v>353</v>
      </c>
      <c r="G147" s="156" t="s">
        <v>160</v>
      </c>
      <c r="H147" s="175" t="s">
        <v>128</v>
      </c>
      <c r="I147" s="148">
        <f t="shared" si="15"/>
        <v>500000</v>
      </c>
      <c r="J147" s="148">
        <f t="shared" si="15"/>
        <v>500000</v>
      </c>
      <c r="K147" s="148">
        <f t="shared" si="15"/>
        <v>500000</v>
      </c>
    </row>
    <row r="148" spans="1:11" ht="49.5" customHeight="1">
      <c r="A148" s="154" t="s">
        <v>178</v>
      </c>
      <c r="B148" s="156" t="s">
        <v>108</v>
      </c>
      <c r="C148" s="176">
        <v>10</v>
      </c>
      <c r="D148" s="156" t="s">
        <v>130</v>
      </c>
      <c r="E148" s="176" t="s">
        <v>132</v>
      </c>
      <c r="F148" s="176" t="s">
        <v>353</v>
      </c>
      <c r="G148" s="156" t="s">
        <v>161</v>
      </c>
      <c r="H148" s="156" t="s">
        <v>134</v>
      </c>
      <c r="I148" s="148">
        <v>500000</v>
      </c>
      <c r="J148" s="147">
        <v>500000</v>
      </c>
      <c r="K148" s="147">
        <v>500000</v>
      </c>
    </row>
    <row r="149" spans="1:11" ht="17.25" customHeight="1">
      <c r="A149" s="146" t="s">
        <v>152</v>
      </c>
      <c r="B149" s="149" t="s">
        <v>108</v>
      </c>
      <c r="C149" s="152">
        <v>11</v>
      </c>
      <c r="D149" s="159" t="s">
        <v>126</v>
      </c>
      <c r="E149" s="149" t="s">
        <v>3</v>
      </c>
      <c r="F149" s="149" t="s">
        <v>305</v>
      </c>
      <c r="G149" s="152" t="s">
        <v>123</v>
      </c>
      <c r="H149" s="175" t="s">
        <v>128</v>
      </c>
      <c r="I149" s="149">
        <f>I150</f>
        <v>75000</v>
      </c>
      <c r="J149" s="149">
        <f aca="true" t="shared" si="16" ref="I149:K150">J150</f>
        <v>75000</v>
      </c>
      <c r="K149" s="149">
        <f t="shared" si="16"/>
        <v>75000</v>
      </c>
    </row>
    <row r="150" spans="1:11" ht="22.5" customHeight="1">
      <c r="A150" s="177" t="s">
        <v>284</v>
      </c>
      <c r="B150" s="147" t="s">
        <v>108</v>
      </c>
      <c r="C150" s="176">
        <v>11</v>
      </c>
      <c r="D150" s="156" t="s">
        <v>153</v>
      </c>
      <c r="E150" s="176" t="s">
        <v>3</v>
      </c>
      <c r="F150" s="176" t="s">
        <v>306</v>
      </c>
      <c r="G150" s="176" t="s">
        <v>123</v>
      </c>
      <c r="H150" s="175" t="s">
        <v>128</v>
      </c>
      <c r="I150" s="148">
        <f t="shared" si="16"/>
        <v>75000</v>
      </c>
      <c r="J150" s="148">
        <f t="shared" si="16"/>
        <v>75000</v>
      </c>
      <c r="K150" s="148">
        <f t="shared" si="16"/>
        <v>75000</v>
      </c>
    </row>
    <row r="151" spans="1:11" ht="21.75" customHeight="1">
      <c r="A151" s="154" t="s">
        <v>247</v>
      </c>
      <c r="B151" s="147" t="s">
        <v>108</v>
      </c>
      <c r="C151" s="176">
        <v>11</v>
      </c>
      <c r="D151" s="156" t="s">
        <v>153</v>
      </c>
      <c r="E151" s="176" t="s">
        <v>199</v>
      </c>
      <c r="F151" s="176" t="s">
        <v>307</v>
      </c>
      <c r="G151" s="176" t="s">
        <v>123</v>
      </c>
      <c r="H151" s="175" t="s">
        <v>128</v>
      </c>
      <c r="I151" s="147">
        <f>I152+I157</f>
        <v>75000</v>
      </c>
      <c r="J151" s="147">
        <f>J152+J157</f>
        <v>75000</v>
      </c>
      <c r="K151" s="147">
        <f>K152+K157</f>
        <v>75000</v>
      </c>
    </row>
    <row r="152" spans="1:11" ht="23.25" customHeight="1">
      <c r="A152" s="178" t="s">
        <v>173</v>
      </c>
      <c r="B152" s="147" t="s">
        <v>108</v>
      </c>
      <c r="C152" s="176">
        <v>11</v>
      </c>
      <c r="D152" s="156" t="s">
        <v>153</v>
      </c>
      <c r="E152" s="176" t="s">
        <v>199</v>
      </c>
      <c r="F152" s="176" t="s">
        <v>307</v>
      </c>
      <c r="G152" s="176">
        <v>200</v>
      </c>
      <c r="H152" s="175" t="s">
        <v>128</v>
      </c>
      <c r="I152" s="147">
        <f>SUM(I154)</f>
        <v>35000</v>
      </c>
      <c r="J152" s="147">
        <f>SUM(J154)</f>
        <v>35000</v>
      </c>
      <c r="K152" s="147">
        <f>SUM(K154)</f>
        <v>35000</v>
      </c>
    </row>
    <row r="153" spans="1:11" ht="24" customHeight="1">
      <c r="A153" s="178" t="s">
        <v>278</v>
      </c>
      <c r="B153" s="147" t="s">
        <v>108</v>
      </c>
      <c r="C153" s="176">
        <v>11</v>
      </c>
      <c r="D153" s="156" t="s">
        <v>153</v>
      </c>
      <c r="E153" s="176" t="s">
        <v>199</v>
      </c>
      <c r="F153" s="176" t="s">
        <v>307</v>
      </c>
      <c r="G153" s="176">
        <v>240</v>
      </c>
      <c r="H153" s="175"/>
      <c r="I153" s="147">
        <f>I154</f>
        <v>35000</v>
      </c>
      <c r="J153" s="147">
        <f>J154</f>
        <v>35000</v>
      </c>
      <c r="K153" s="147">
        <f>K154</f>
        <v>35000</v>
      </c>
    </row>
    <row r="154" spans="1:11" ht="22.5" customHeight="1">
      <c r="A154" s="178" t="s">
        <v>169</v>
      </c>
      <c r="B154" s="147" t="s">
        <v>108</v>
      </c>
      <c r="C154" s="176">
        <v>11</v>
      </c>
      <c r="D154" s="156" t="s">
        <v>153</v>
      </c>
      <c r="E154" s="176" t="s">
        <v>199</v>
      </c>
      <c r="F154" s="176" t="s">
        <v>307</v>
      </c>
      <c r="G154" s="147">
        <v>244</v>
      </c>
      <c r="H154" s="175" t="s">
        <v>128</v>
      </c>
      <c r="I154" s="147">
        <v>35000</v>
      </c>
      <c r="J154" s="147">
        <f>J155+J156</f>
        <v>35000</v>
      </c>
      <c r="K154" s="147">
        <v>35000</v>
      </c>
    </row>
    <row r="155" spans="1:11" ht="23.25" customHeight="1" hidden="1">
      <c r="A155" s="179" t="s">
        <v>19</v>
      </c>
      <c r="B155" s="147" t="s">
        <v>108</v>
      </c>
      <c r="C155" s="176">
        <v>11</v>
      </c>
      <c r="D155" s="156" t="s">
        <v>153</v>
      </c>
      <c r="E155" s="176" t="s">
        <v>199</v>
      </c>
      <c r="F155" s="176" t="s">
        <v>307</v>
      </c>
      <c r="G155" s="147">
        <v>244</v>
      </c>
      <c r="H155" s="147">
        <v>340</v>
      </c>
      <c r="I155" s="147">
        <v>37000</v>
      </c>
      <c r="J155" s="147">
        <f>37000-37000</f>
        <v>0</v>
      </c>
      <c r="K155" s="147">
        <v>37000</v>
      </c>
    </row>
    <row r="156" spans="1:11" ht="22.5" customHeight="1" hidden="1">
      <c r="A156" s="179" t="s">
        <v>363</v>
      </c>
      <c r="B156" s="147" t="s">
        <v>108</v>
      </c>
      <c r="C156" s="176">
        <v>11</v>
      </c>
      <c r="D156" s="156" t="s">
        <v>153</v>
      </c>
      <c r="E156" s="176"/>
      <c r="F156" s="176" t="s">
        <v>307</v>
      </c>
      <c r="G156" s="147">
        <v>244</v>
      </c>
      <c r="H156" s="147"/>
      <c r="I156" s="147">
        <f>35000+4069</f>
        <v>39069</v>
      </c>
      <c r="J156" s="147">
        <v>35000</v>
      </c>
      <c r="K156" s="147">
        <v>35000</v>
      </c>
    </row>
    <row r="157" spans="1:11" ht="23.25" customHeight="1">
      <c r="A157" s="196" t="s">
        <v>396</v>
      </c>
      <c r="B157" s="147" t="s">
        <v>108</v>
      </c>
      <c r="C157" s="176">
        <v>11</v>
      </c>
      <c r="D157" s="156" t="s">
        <v>153</v>
      </c>
      <c r="E157" s="176" t="s">
        <v>199</v>
      </c>
      <c r="F157" s="176" t="s">
        <v>307</v>
      </c>
      <c r="G157" s="147">
        <v>350</v>
      </c>
      <c r="H157" s="147"/>
      <c r="I157" s="147">
        <v>40000</v>
      </c>
      <c r="J157" s="147">
        <v>40000</v>
      </c>
      <c r="K157" s="147">
        <v>40000</v>
      </c>
    </row>
    <row r="158" spans="1:11" ht="23.25" customHeight="1">
      <c r="A158" s="196" t="s">
        <v>405</v>
      </c>
      <c r="B158" s="147">
        <v>14</v>
      </c>
      <c r="C158" s="176">
        <v>13</v>
      </c>
      <c r="D158" s="156" t="s">
        <v>126</v>
      </c>
      <c r="E158" s="176"/>
      <c r="F158" s="176" t="s">
        <v>404</v>
      </c>
      <c r="G158" s="147">
        <v>0</v>
      </c>
      <c r="H158" s="147"/>
      <c r="I158" s="147">
        <v>0</v>
      </c>
      <c r="J158" s="147">
        <v>1000</v>
      </c>
      <c r="K158" s="147">
        <v>1000</v>
      </c>
    </row>
    <row r="159" spans="1:11" ht="23.25" customHeight="1">
      <c r="A159" s="196" t="s">
        <v>406</v>
      </c>
      <c r="B159" s="147">
        <v>14</v>
      </c>
      <c r="C159" s="176">
        <v>13</v>
      </c>
      <c r="D159" s="156" t="s">
        <v>130</v>
      </c>
      <c r="E159" s="176"/>
      <c r="F159" s="176" t="s">
        <v>404</v>
      </c>
      <c r="G159" s="147">
        <v>730</v>
      </c>
      <c r="H159" s="147"/>
      <c r="I159" s="147">
        <v>0</v>
      </c>
      <c r="J159" s="147">
        <v>1000</v>
      </c>
      <c r="K159" s="147">
        <v>1000</v>
      </c>
    </row>
    <row r="160" spans="1:11" ht="23.25" customHeight="1">
      <c r="A160" s="146" t="s">
        <v>207</v>
      </c>
      <c r="B160" s="149" t="s">
        <v>108</v>
      </c>
      <c r="C160" s="152">
        <v>14</v>
      </c>
      <c r="D160" s="159" t="s">
        <v>126</v>
      </c>
      <c r="E160" s="152" t="s">
        <v>208</v>
      </c>
      <c r="F160" s="152" t="s">
        <v>305</v>
      </c>
      <c r="G160" s="159" t="s">
        <v>128</v>
      </c>
      <c r="H160" s="175" t="s">
        <v>128</v>
      </c>
      <c r="I160" s="149">
        <f aca="true" t="shared" si="17" ref="I160:K161">I161</f>
        <v>33000</v>
      </c>
      <c r="J160" s="149">
        <f t="shared" si="17"/>
        <v>25000</v>
      </c>
      <c r="K160" s="149">
        <f t="shared" si="17"/>
        <v>25000</v>
      </c>
    </row>
    <row r="161" spans="1:11" ht="24" customHeight="1">
      <c r="A161" s="154" t="s">
        <v>209</v>
      </c>
      <c r="B161" s="147" t="s">
        <v>108</v>
      </c>
      <c r="C161" s="176">
        <v>14</v>
      </c>
      <c r="D161" s="156" t="s">
        <v>191</v>
      </c>
      <c r="E161" s="176" t="s">
        <v>127</v>
      </c>
      <c r="F161" s="176" t="s">
        <v>308</v>
      </c>
      <c r="G161" s="156" t="s">
        <v>128</v>
      </c>
      <c r="H161" s="175" t="s">
        <v>128</v>
      </c>
      <c r="I161" s="147">
        <f t="shared" si="17"/>
        <v>33000</v>
      </c>
      <c r="J161" s="147">
        <f t="shared" si="17"/>
        <v>25000</v>
      </c>
      <c r="K161" s="147">
        <f t="shared" si="17"/>
        <v>25000</v>
      </c>
    </row>
    <row r="162" spans="1:11" ht="24.75" customHeight="1">
      <c r="A162" s="154" t="s">
        <v>210</v>
      </c>
      <c r="B162" s="147" t="s">
        <v>108</v>
      </c>
      <c r="C162" s="176">
        <v>14</v>
      </c>
      <c r="D162" s="156" t="s">
        <v>191</v>
      </c>
      <c r="E162" s="176" t="s">
        <v>211</v>
      </c>
      <c r="F162" s="176" t="s">
        <v>309</v>
      </c>
      <c r="G162" s="156" t="s">
        <v>128</v>
      </c>
      <c r="H162" s="175" t="s">
        <v>128</v>
      </c>
      <c r="I162" s="147">
        <f>I163</f>
        <v>33000</v>
      </c>
      <c r="J162" s="147">
        <f>J164</f>
        <v>25000</v>
      </c>
      <c r="K162" s="147">
        <f>K164</f>
        <v>25000</v>
      </c>
    </row>
    <row r="163" spans="1:11" ht="21.75" customHeight="1">
      <c r="A163" s="154" t="s">
        <v>248</v>
      </c>
      <c r="B163" s="147" t="s">
        <v>108</v>
      </c>
      <c r="C163" s="176">
        <v>14</v>
      </c>
      <c r="D163" s="156" t="s">
        <v>191</v>
      </c>
      <c r="E163" s="176" t="s">
        <v>211</v>
      </c>
      <c r="F163" s="176" t="s">
        <v>309</v>
      </c>
      <c r="G163" s="156" t="s">
        <v>249</v>
      </c>
      <c r="H163" s="156" t="s">
        <v>214</v>
      </c>
      <c r="I163" s="147">
        <v>33000</v>
      </c>
      <c r="J163" s="147">
        <f>J164</f>
        <v>25000</v>
      </c>
      <c r="K163" s="147">
        <f>K164</f>
        <v>25000</v>
      </c>
    </row>
    <row r="164" spans="1:11" ht="11.25" customHeight="1" hidden="1">
      <c r="A164" s="157" t="s">
        <v>212</v>
      </c>
      <c r="B164" s="147" t="s">
        <v>108</v>
      </c>
      <c r="C164" s="176">
        <v>14</v>
      </c>
      <c r="D164" s="156" t="s">
        <v>191</v>
      </c>
      <c r="E164" s="176" t="s">
        <v>211</v>
      </c>
      <c r="F164" s="176" t="s">
        <v>309</v>
      </c>
      <c r="G164" s="156" t="s">
        <v>213</v>
      </c>
      <c r="H164" s="156"/>
      <c r="I164" s="147">
        <v>70000</v>
      </c>
      <c r="J164" s="147">
        <v>25000</v>
      </c>
      <c r="K164" s="147">
        <v>25000</v>
      </c>
    </row>
    <row r="165" spans="1:11" ht="12" customHeight="1" hidden="1">
      <c r="A165" s="180" t="s">
        <v>285</v>
      </c>
      <c r="B165" s="147" t="s">
        <v>108</v>
      </c>
      <c r="C165" s="176">
        <v>14</v>
      </c>
      <c r="D165" s="156" t="s">
        <v>191</v>
      </c>
      <c r="E165" s="176" t="s">
        <v>211</v>
      </c>
      <c r="F165" s="176" t="s">
        <v>309</v>
      </c>
      <c r="G165" s="156" t="s">
        <v>213</v>
      </c>
      <c r="H165" s="156"/>
      <c r="I165" s="147">
        <v>0</v>
      </c>
      <c r="J165" s="147">
        <v>0</v>
      </c>
      <c r="K165" s="147">
        <v>0</v>
      </c>
    </row>
    <row r="166" spans="1:11" ht="13.5">
      <c r="A166" s="146" t="s">
        <v>260</v>
      </c>
      <c r="B166" s="159" t="s">
        <v>206</v>
      </c>
      <c r="C166" s="152" t="s">
        <v>25</v>
      </c>
      <c r="D166" s="175" t="s">
        <v>126</v>
      </c>
      <c r="E166" s="176" t="s">
        <v>127</v>
      </c>
      <c r="F166" s="149" t="s">
        <v>305</v>
      </c>
      <c r="G166" s="152"/>
      <c r="H166" s="175" t="s">
        <v>128</v>
      </c>
      <c r="I166" s="158">
        <f>I168+I207</f>
        <v>2996229.8328</v>
      </c>
      <c r="J166" s="158">
        <f>J168+J207</f>
        <v>2648553</v>
      </c>
      <c r="K166" s="158">
        <f>K168+K207</f>
        <v>2650835</v>
      </c>
    </row>
    <row r="167" spans="1:11" ht="13.5">
      <c r="A167" s="146" t="s">
        <v>256</v>
      </c>
      <c r="B167" s="159" t="s">
        <v>206</v>
      </c>
      <c r="C167" s="152" t="s">
        <v>25</v>
      </c>
      <c r="D167" s="175" t="s">
        <v>126</v>
      </c>
      <c r="E167" s="176" t="s">
        <v>127</v>
      </c>
      <c r="F167" s="149" t="s">
        <v>305</v>
      </c>
      <c r="G167" s="152"/>
      <c r="H167" s="175" t="s">
        <v>128</v>
      </c>
      <c r="I167" s="158">
        <f>I168</f>
        <v>2996229.8328</v>
      </c>
      <c r="J167" s="158">
        <f>J168</f>
        <v>2648553</v>
      </c>
      <c r="K167" s="158">
        <f>K168</f>
        <v>2650835</v>
      </c>
    </row>
    <row r="168" spans="1:11" ht="13.5">
      <c r="A168" s="146" t="s">
        <v>110</v>
      </c>
      <c r="B168" s="159" t="s">
        <v>206</v>
      </c>
      <c r="C168" s="152" t="s">
        <v>25</v>
      </c>
      <c r="D168" s="152" t="s">
        <v>1</v>
      </c>
      <c r="E168" s="159" t="s">
        <v>259</v>
      </c>
      <c r="F168" s="149" t="s">
        <v>310</v>
      </c>
      <c r="G168" s="152"/>
      <c r="H168" s="175" t="s">
        <v>128</v>
      </c>
      <c r="I168" s="158">
        <f>I169+I189</f>
        <v>2996229.8328</v>
      </c>
      <c r="J168" s="158">
        <f>J169+J189</f>
        <v>2648553</v>
      </c>
      <c r="K168" s="158">
        <f>K169+K189</f>
        <v>2650835</v>
      </c>
    </row>
    <row r="169" spans="1:11" ht="27">
      <c r="A169" s="146" t="s">
        <v>250</v>
      </c>
      <c r="B169" s="156" t="s">
        <v>206</v>
      </c>
      <c r="C169" s="176" t="s">
        <v>25</v>
      </c>
      <c r="D169" s="176" t="s">
        <v>1</v>
      </c>
      <c r="E169" s="147" t="s">
        <v>93</v>
      </c>
      <c r="F169" s="147" t="s">
        <v>311</v>
      </c>
      <c r="G169" s="176"/>
      <c r="H169" s="175" t="s">
        <v>128</v>
      </c>
      <c r="I169" s="155">
        <f>I170+I175+I186</f>
        <v>2521323.0744</v>
      </c>
      <c r="J169" s="155">
        <f>J170+J175+J186</f>
        <v>2264243</v>
      </c>
      <c r="K169" s="155">
        <f>K170+K175+K186</f>
        <v>2270847</v>
      </c>
    </row>
    <row r="170" spans="1:11" ht="27">
      <c r="A170" s="154" t="s">
        <v>174</v>
      </c>
      <c r="B170" s="156" t="s">
        <v>206</v>
      </c>
      <c r="C170" s="176" t="s">
        <v>25</v>
      </c>
      <c r="D170" s="176" t="s">
        <v>1</v>
      </c>
      <c r="E170" s="147" t="s">
        <v>93</v>
      </c>
      <c r="F170" s="147" t="s">
        <v>311</v>
      </c>
      <c r="G170" s="176">
        <v>100</v>
      </c>
      <c r="H170" s="176">
        <v>210</v>
      </c>
      <c r="I170" s="155">
        <f>I171</f>
        <v>2101323.0744</v>
      </c>
      <c r="J170" s="155">
        <f>J171</f>
        <v>1906323</v>
      </c>
      <c r="K170" s="155">
        <f>K171</f>
        <v>2018372</v>
      </c>
    </row>
    <row r="171" spans="1:11" ht="15.75" customHeight="1">
      <c r="A171" s="154" t="s">
        <v>179</v>
      </c>
      <c r="B171" s="156" t="s">
        <v>206</v>
      </c>
      <c r="C171" s="176" t="s">
        <v>25</v>
      </c>
      <c r="D171" s="176" t="s">
        <v>1</v>
      </c>
      <c r="E171" s="147" t="s">
        <v>93</v>
      </c>
      <c r="F171" s="147" t="s">
        <v>311</v>
      </c>
      <c r="G171" s="176">
        <v>110</v>
      </c>
      <c r="H171" s="176">
        <v>211</v>
      </c>
      <c r="I171" s="155">
        <f>I172+I173</f>
        <v>2101323.0744</v>
      </c>
      <c r="J171" s="155">
        <f>J172+J173</f>
        <v>1906323</v>
      </c>
      <c r="K171" s="155">
        <f>K172+K173</f>
        <v>2018372</v>
      </c>
    </row>
    <row r="172" spans="1:14" ht="16.5" customHeight="1" hidden="1">
      <c r="A172" s="157" t="s">
        <v>10</v>
      </c>
      <c r="B172" s="156" t="s">
        <v>206</v>
      </c>
      <c r="C172" s="176" t="s">
        <v>25</v>
      </c>
      <c r="D172" s="176" t="s">
        <v>1</v>
      </c>
      <c r="E172" s="147" t="s">
        <v>93</v>
      </c>
      <c r="F172" s="147" t="s">
        <v>311</v>
      </c>
      <c r="G172" s="176">
        <v>111</v>
      </c>
      <c r="H172" s="176">
        <v>213</v>
      </c>
      <c r="I172" s="155">
        <f>197419.65*8+30000</f>
        <v>1609357.2</v>
      </c>
      <c r="J172" s="147">
        <f>1579357-100000</f>
        <v>1479357</v>
      </c>
      <c r="K172" s="147">
        <f>1579357-25000</f>
        <v>1554357</v>
      </c>
      <c r="N172" t="s">
        <v>356</v>
      </c>
    </row>
    <row r="173" spans="1:14" ht="27" customHeight="1" hidden="1">
      <c r="A173" s="157" t="s">
        <v>12</v>
      </c>
      <c r="B173" s="156" t="s">
        <v>206</v>
      </c>
      <c r="C173" s="176" t="s">
        <v>25</v>
      </c>
      <c r="D173" s="176" t="s">
        <v>1</v>
      </c>
      <c r="E173" s="147" t="s">
        <v>93</v>
      </c>
      <c r="F173" s="147" t="s">
        <v>311</v>
      </c>
      <c r="G173" s="176">
        <v>119</v>
      </c>
      <c r="H173" s="176"/>
      <c r="I173" s="155">
        <f>197419.65*30.2%*8+15000</f>
        <v>491965.8744</v>
      </c>
      <c r="J173" s="147">
        <f>476966-50000</f>
        <v>426966</v>
      </c>
      <c r="K173" s="147">
        <f>476966-12951</f>
        <v>464015</v>
      </c>
      <c r="N173" t="s">
        <v>359</v>
      </c>
    </row>
    <row r="174" spans="1:11" ht="27">
      <c r="A174" s="154" t="s">
        <v>251</v>
      </c>
      <c r="B174" s="156" t="s">
        <v>206</v>
      </c>
      <c r="C174" s="176" t="s">
        <v>25</v>
      </c>
      <c r="D174" s="176" t="s">
        <v>1</v>
      </c>
      <c r="E174" s="147" t="s">
        <v>93</v>
      </c>
      <c r="F174" s="147" t="s">
        <v>312</v>
      </c>
      <c r="G174" s="176"/>
      <c r="H174" s="175" t="s">
        <v>128</v>
      </c>
      <c r="I174" s="155">
        <f aca="true" t="shared" si="18" ref="I174:K175">I175</f>
        <v>420000</v>
      </c>
      <c r="J174" s="155">
        <f t="shared" si="18"/>
        <v>357920</v>
      </c>
      <c r="K174" s="155">
        <f t="shared" si="18"/>
        <v>252475</v>
      </c>
    </row>
    <row r="175" spans="1:11" ht="27">
      <c r="A175" s="154" t="s">
        <v>173</v>
      </c>
      <c r="B175" s="156" t="s">
        <v>206</v>
      </c>
      <c r="C175" s="176" t="s">
        <v>25</v>
      </c>
      <c r="D175" s="176" t="s">
        <v>1</v>
      </c>
      <c r="E175" s="147" t="s">
        <v>93</v>
      </c>
      <c r="F175" s="147" t="s">
        <v>312</v>
      </c>
      <c r="G175" s="176">
        <v>200</v>
      </c>
      <c r="H175" s="175" t="s">
        <v>128</v>
      </c>
      <c r="I175" s="155">
        <f t="shared" si="18"/>
        <v>420000</v>
      </c>
      <c r="J175" s="155">
        <f t="shared" si="18"/>
        <v>357920</v>
      </c>
      <c r="K175" s="155">
        <f t="shared" si="18"/>
        <v>252475</v>
      </c>
    </row>
    <row r="176" spans="1:11" ht="24.75" customHeight="1">
      <c r="A176" s="154" t="s">
        <v>278</v>
      </c>
      <c r="B176" s="156" t="s">
        <v>206</v>
      </c>
      <c r="C176" s="176" t="s">
        <v>25</v>
      </c>
      <c r="D176" s="176" t="s">
        <v>1</v>
      </c>
      <c r="E176" s="147" t="s">
        <v>93</v>
      </c>
      <c r="F176" s="147" t="s">
        <v>312</v>
      </c>
      <c r="G176" s="176">
        <v>240</v>
      </c>
      <c r="H176" s="175"/>
      <c r="I176" s="155">
        <f>I178+I185+I177+I179</f>
        <v>420000</v>
      </c>
      <c r="J176" s="155">
        <f>J178+J185+J177+J179</f>
        <v>357920</v>
      </c>
      <c r="K176" s="155">
        <f>K178+K185+K177+K179</f>
        <v>252475</v>
      </c>
    </row>
    <row r="177" spans="1:11" ht="24.75" customHeight="1">
      <c r="A177" s="154" t="s">
        <v>163</v>
      </c>
      <c r="B177" s="156" t="s">
        <v>206</v>
      </c>
      <c r="C177" s="176" t="s">
        <v>25</v>
      </c>
      <c r="D177" s="176" t="s">
        <v>1</v>
      </c>
      <c r="E177" s="147" t="s">
        <v>93</v>
      </c>
      <c r="F177" s="147" t="s">
        <v>312</v>
      </c>
      <c r="G177" s="176">
        <v>242</v>
      </c>
      <c r="H177" s="175"/>
      <c r="I177" s="155">
        <v>50000</v>
      </c>
      <c r="J177" s="155"/>
      <c r="K177" s="155"/>
    </row>
    <row r="178" spans="1:11" ht="19.5" customHeight="1">
      <c r="A178" s="154" t="s">
        <v>169</v>
      </c>
      <c r="B178" s="156" t="s">
        <v>206</v>
      </c>
      <c r="C178" s="176" t="s">
        <v>25</v>
      </c>
      <c r="D178" s="176" t="s">
        <v>1</v>
      </c>
      <c r="E178" s="147" t="s">
        <v>93</v>
      </c>
      <c r="F178" s="147" t="s">
        <v>312</v>
      </c>
      <c r="G178" s="176">
        <v>244</v>
      </c>
      <c r="H178" s="175" t="s">
        <v>128</v>
      </c>
      <c r="I178" s="155">
        <f>250000</f>
        <v>250000</v>
      </c>
      <c r="J178" s="155">
        <f>209520-1600</f>
        <v>207920</v>
      </c>
      <c r="K178" s="155">
        <f>K181+K182+K184+K183</f>
        <v>102475</v>
      </c>
    </row>
    <row r="179" spans="1:11" ht="24.75" customHeight="1">
      <c r="A179" s="154" t="s">
        <v>464</v>
      </c>
      <c r="B179" s="156" t="s">
        <v>206</v>
      </c>
      <c r="C179" s="176" t="s">
        <v>25</v>
      </c>
      <c r="D179" s="176" t="s">
        <v>1</v>
      </c>
      <c r="E179" s="147" t="s">
        <v>93</v>
      </c>
      <c r="F179" s="147" t="s">
        <v>312</v>
      </c>
      <c r="G179" s="176">
        <v>247</v>
      </c>
      <c r="H179" s="175"/>
      <c r="I179" s="155">
        <v>120000</v>
      </c>
      <c r="J179" s="155">
        <v>150000</v>
      </c>
      <c r="K179" s="155">
        <v>150000</v>
      </c>
    </row>
    <row r="180" spans="1:11" ht="1.5" customHeight="1" hidden="1">
      <c r="A180" s="154" t="s">
        <v>15</v>
      </c>
      <c r="B180" s="156" t="s">
        <v>206</v>
      </c>
      <c r="C180" s="176" t="s">
        <v>25</v>
      </c>
      <c r="D180" s="176" t="s">
        <v>1</v>
      </c>
      <c r="E180" s="147" t="s">
        <v>93</v>
      </c>
      <c r="F180" s="147" t="s">
        <v>312</v>
      </c>
      <c r="G180" s="176">
        <v>244</v>
      </c>
      <c r="H180" s="175"/>
      <c r="I180" s="155">
        <f>30000-30000</f>
        <v>0</v>
      </c>
      <c r="J180" s="155"/>
      <c r="K180" s="155"/>
    </row>
    <row r="181" spans="1:11" ht="27" customHeight="1" hidden="1">
      <c r="A181" s="157" t="s">
        <v>18</v>
      </c>
      <c r="B181" s="156" t="s">
        <v>206</v>
      </c>
      <c r="C181" s="176" t="s">
        <v>25</v>
      </c>
      <c r="D181" s="176" t="s">
        <v>1</v>
      </c>
      <c r="E181" s="147" t="s">
        <v>93</v>
      </c>
      <c r="F181" s="147" t="s">
        <v>312</v>
      </c>
      <c r="G181" s="176">
        <v>244</v>
      </c>
      <c r="H181" s="176">
        <v>226</v>
      </c>
      <c r="I181" s="155">
        <f>81852+5000+30000</f>
        <v>116852</v>
      </c>
      <c r="J181" s="147">
        <f>86852-67332</f>
        <v>19520</v>
      </c>
      <c r="K181" s="147">
        <v>86852</v>
      </c>
    </row>
    <row r="182" spans="1:11" ht="24.75" customHeight="1" hidden="1">
      <c r="A182" s="157" t="s">
        <v>19</v>
      </c>
      <c r="B182" s="156" t="s">
        <v>206</v>
      </c>
      <c r="C182" s="176" t="s">
        <v>25</v>
      </c>
      <c r="D182" s="176" t="s">
        <v>1</v>
      </c>
      <c r="E182" s="147" t="s">
        <v>93</v>
      </c>
      <c r="F182" s="147" t="s">
        <v>312</v>
      </c>
      <c r="G182" s="176">
        <v>244</v>
      </c>
      <c r="H182" s="176">
        <v>290</v>
      </c>
      <c r="I182" s="181">
        <v>0</v>
      </c>
      <c r="J182" s="147">
        <f>68165-68165</f>
        <v>0</v>
      </c>
      <c r="K182" s="147">
        <v>0</v>
      </c>
    </row>
    <row r="183" spans="1:11" ht="0.75" customHeight="1">
      <c r="A183" s="157" t="s">
        <v>140</v>
      </c>
      <c r="B183" s="156" t="s">
        <v>206</v>
      </c>
      <c r="C183" s="176" t="s">
        <v>25</v>
      </c>
      <c r="D183" s="176" t="s">
        <v>1</v>
      </c>
      <c r="E183" s="147" t="s">
        <v>93</v>
      </c>
      <c r="F183" s="147" t="s">
        <v>312</v>
      </c>
      <c r="G183" s="176">
        <v>244</v>
      </c>
      <c r="H183" s="176">
        <v>340</v>
      </c>
      <c r="I183" s="182">
        <v>75000</v>
      </c>
      <c r="J183" s="147">
        <f>6000+11503+68165+37000+67332</f>
        <v>190000</v>
      </c>
      <c r="K183" s="168">
        <f>4120+11503</f>
        <v>15623</v>
      </c>
    </row>
    <row r="184" spans="1:11" ht="23.25" customHeight="1" hidden="1">
      <c r="A184" s="157" t="s">
        <v>21</v>
      </c>
      <c r="B184" s="156" t="s">
        <v>206</v>
      </c>
      <c r="C184" s="176" t="s">
        <v>25</v>
      </c>
      <c r="D184" s="176" t="s">
        <v>1</v>
      </c>
      <c r="E184" s="147" t="s">
        <v>93</v>
      </c>
      <c r="F184" s="147" t="s">
        <v>312</v>
      </c>
      <c r="G184" s="176">
        <v>244</v>
      </c>
      <c r="H184" s="176">
        <v>310</v>
      </c>
      <c r="I184" s="183">
        <v>50000</v>
      </c>
      <c r="J184" s="147">
        <v>0</v>
      </c>
      <c r="K184" s="147"/>
    </row>
    <row r="185" spans="1:11" ht="21.75" customHeight="1">
      <c r="A185" s="154" t="s">
        <v>390</v>
      </c>
      <c r="B185" s="156" t="s">
        <v>206</v>
      </c>
      <c r="C185" s="176" t="s">
        <v>25</v>
      </c>
      <c r="D185" s="176" t="s">
        <v>1</v>
      </c>
      <c r="E185" s="147" t="s">
        <v>93</v>
      </c>
      <c r="F185" s="147" t="s">
        <v>312</v>
      </c>
      <c r="G185" s="176">
        <v>245</v>
      </c>
      <c r="H185" s="176"/>
      <c r="I185" s="183">
        <v>0</v>
      </c>
      <c r="J185" s="147"/>
      <c r="K185" s="147"/>
    </row>
    <row r="186" spans="1:11" ht="17.25" customHeight="1">
      <c r="A186" s="154" t="s">
        <v>246</v>
      </c>
      <c r="B186" s="156" t="s">
        <v>206</v>
      </c>
      <c r="C186" s="176" t="s">
        <v>25</v>
      </c>
      <c r="D186" s="176" t="s">
        <v>1</v>
      </c>
      <c r="E186" s="147" t="s">
        <v>93</v>
      </c>
      <c r="F186" s="147" t="s">
        <v>312</v>
      </c>
      <c r="G186" s="176">
        <v>800</v>
      </c>
      <c r="H186" s="175" t="s">
        <v>128</v>
      </c>
      <c r="I186" s="184">
        <v>0</v>
      </c>
      <c r="J186" s="184">
        <f>J187</f>
        <v>0</v>
      </c>
      <c r="K186" s="184">
        <f>K187</f>
        <v>0</v>
      </c>
    </row>
    <row r="187" spans="1:11" ht="20.25" customHeight="1" hidden="1">
      <c r="A187" s="180" t="s">
        <v>171</v>
      </c>
      <c r="B187" s="156" t="s">
        <v>206</v>
      </c>
      <c r="C187" s="176" t="s">
        <v>25</v>
      </c>
      <c r="D187" s="176" t="s">
        <v>1</v>
      </c>
      <c r="E187" s="147" t="s">
        <v>93</v>
      </c>
      <c r="F187" s="147" t="s">
        <v>312</v>
      </c>
      <c r="G187" s="176">
        <v>850</v>
      </c>
      <c r="H187" s="175"/>
      <c r="I187" s="184"/>
      <c r="J187" s="184"/>
      <c r="K187" s="184"/>
    </row>
    <row r="188" spans="1:11" ht="0.75" customHeight="1">
      <c r="A188" s="180" t="s">
        <v>313</v>
      </c>
      <c r="B188" s="156" t="s">
        <v>206</v>
      </c>
      <c r="C188" s="176" t="s">
        <v>25</v>
      </c>
      <c r="D188" s="176" t="s">
        <v>1</v>
      </c>
      <c r="E188" s="147" t="s">
        <v>93</v>
      </c>
      <c r="F188" s="147" t="s">
        <v>312</v>
      </c>
      <c r="G188" s="176">
        <v>852</v>
      </c>
      <c r="H188" s="175"/>
      <c r="I188" s="184"/>
      <c r="J188" s="147"/>
      <c r="K188" s="147"/>
    </row>
    <row r="189" spans="1:11" ht="27">
      <c r="A189" s="146" t="s">
        <v>252</v>
      </c>
      <c r="B189" s="159" t="s">
        <v>206</v>
      </c>
      <c r="C189" s="152" t="s">
        <v>25</v>
      </c>
      <c r="D189" s="152" t="s">
        <v>1</v>
      </c>
      <c r="E189" s="149" t="s">
        <v>29</v>
      </c>
      <c r="F189" s="149" t="s">
        <v>314</v>
      </c>
      <c r="G189" s="152"/>
      <c r="H189" s="175" t="s">
        <v>128</v>
      </c>
      <c r="I189" s="158">
        <f>I190</f>
        <v>474906.7584</v>
      </c>
      <c r="J189" s="158">
        <f>J190</f>
        <v>384310</v>
      </c>
      <c r="K189" s="158">
        <f>K190</f>
        <v>379988</v>
      </c>
    </row>
    <row r="190" spans="1:11" ht="27">
      <c r="A190" s="154" t="s">
        <v>174</v>
      </c>
      <c r="B190" s="156" t="s">
        <v>206</v>
      </c>
      <c r="C190" s="176" t="s">
        <v>25</v>
      </c>
      <c r="D190" s="176" t="s">
        <v>1</v>
      </c>
      <c r="E190" s="147" t="s">
        <v>96</v>
      </c>
      <c r="F190" s="147" t="s">
        <v>315</v>
      </c>
      <c r="G190" s="176">
        <v>110</v>
      </c>
      <c r="H190" s="175" t="s">
        <v>128</v>
      </c>
      <c r="I190" s="155">
        <f>I193+I199</f>
        <v>474906.7584</v>
      </c>
      <c r="J190" s="155">
        <f>J193+J199</f>
        <v>384310</v>
      </c>
      <c r="K190" s="155">
        <f>K193+K199</f>
        <v>379988</v>
      </c>
    </row>
    <row r="191" spans="1:11" ht="108">
      <c r="A191" s="154" t="s">
        <v>276</v>
      </c>
      <c r="B191" s="156" t="s">
        <v>206</v>
      </c>
      <c r="C191" s="176" t="s">
        <v>25</v>
      </c>
      <c r="D191" s="176" t="s">
        <v>1</v>
      </c>
      <c r="E191" s="147" t="s">
        <v>96</v>
      </c>
      <c r="F191" s="147" t="s">
        <v>315</v>
      </c>
      <c r="G191" s="176"/>
      <c r="H191" s="175"/>
      <c r="I191" s="155">
        <f>I193+I196</f>
        <v>474906.7584</v>
      </c>
      <c r="J191" s="155">
        <f>J193+J196</f>
        <v>384310</v>
      </c>
      <c r="K191" s="155">
        <f>K193+K196</f>
        <v>379988</v>
      </c>
    </row>
    <row r="192" spans="1:11" ht="40.5">
      <c r="A192" s="154" t="s">
        <v>286</v>
      </c>
      <c r="B192" s="156" t="s">
        <v>206</v>
      </c>
      <c r="C192" s="176" t="s">
        <v>25</v>
      </c>
      <c r="D192" s="176" t="s">
        <v>1</v>
      </c>
      <c r="E192" s="147" t="s">
        <v>29</v>
      </c>
      <c r="F192" s="147" t="s">
        <v>315</v>
      </c>
      <c r="G192" s="176">
        <v>100</v>
      </c>
      <c r="H192" s="175" t="s">
        <v>128</v>
      </c>
      <c r="I192" s="155">
        <f>I193</f>
        <v>299328.7584</v>
      </c>
      <c r="J192" s="155">
        <f>J193</f>
        <v>268081</v>
      </c>
      <c r="K192" s="155">
        <f>K193</f>
        <v>263759</v>
      </c>
    </row>
    <row r="193" spans="1:11" ht="33.75" customHeight="1">
      <c r="A193" s="154" t="s">
        <v>179</v>
      </c>
      <c r="B193" s="156" t="s">
        <v>206</v>
      </c>
      <c r="C193" s="176" t="s">
        <v>25</v>
      </c>
      <c r="D193" s="176" t="s">
        <v>1</v>
      </c>
      <c r="E193" s="147" t="s">
        <v>96</v>
      </c>
      <c r="F193" s="147" t="s">
        <v>315</v>
      </c>
      <c r="G193" s="176">
        <v>110</v>
      </c>
      <c r="H193" s="176">
        <v>210</v>
      </c>
      <c r="I193" s="155">
        <f>I194+I195</f>
        <v>299328.7584</v>
      </c>
      <c r="J193" s="155">
        <f>J194+J195</f>
        <v>268081</v>
      </c>
      <c r="K193" s="155">
        <f>K194+K195</f>
        <v>263759</v>
      </c>
    </row>
    <row r="194" spans="1:11" ht="19.5" customHeight="1" hidden="1">
      <c r="A194" s="157" t="s">
        <v>10</v>
      </c>
      <c r="B194" s="156" t="s">
        <v>206</v>
      </c>
      <c r="C194" s="176" t="s">
        <v>25</v>
      </c>
      <c r="D194" s="176" t="s">
        <v>1</v>
      </c>
      <c r="E194" s="147" t="s">
        <v>96</v>
      </c>
      <c r="F194" s="147"/>
      <c r="G194" s="176">
        <v>111</v>
      </c>
      <c r="H194" s="176">
        <v>211</v>
      </c>
      <c r="I194" s="181">
        <f>28737.4*8</f>
        <v>229899.2</v>
      </c>
      <c r="J194" s="147">
        <v>205899</v>
      </c>
      <c r="K194" s="147">
        <f>256343-50000</f>
        <v>206343</v>
      </c>
    </row>
    <row r="195" spans="1:11" ht="22.5" customHeight="1" hidden="1">
      <c r="A195" s="157" t="s">
        <v>12</v>
      </c>
      <c r="B195" s="156" t="s">
        <v>206</v>
      </c>
      <c r="C195" s="176" t="s">
        <v>25</v>
      </c>
      <c r="D195" s="176" t="s">
        <v>1</v>
      </c>
      <c r="E195" s="147" t="s">
        <v>96</v>
      </c>
      <c r="F195" s="147"/>
      <c r="G195" s="176">
        <v>119</v>
      </c>
      <c r="H195" s="176">
        <v>213</v>
      </c>
      <c r="I195" s="155">
        <f>28737.4*30.2%*8</f>
        <v>69429.5584</v>
      </c>
      <c r="J195" s="147">
        <v>62182</v>
      </c>
      <c r="K195" s="147">
        <f>77416-20000</f>
        <v>57416</v>
      </c>
    </row>
    <row r="196" spans="1:11" ht="27">
      <c r="A196" s="154" t="s">
        <v>251</v>
      </c>
      <c r="B196" s="156" t="s">
        <v>206</v>
      </c>
      <c r="C196" s="176" t="s">
        <v>25</v>
      </c>
      <c r="D196" s="176" t="s">
        <v>1</v>
      </c>
      <c r="E196" s="147" t="s">
        <v>96</v>
      </c>
      <c r="F196" s="147" t="s">
        <v>316</v>
      </c>
      <c r="G196" s="176"/>
      <c r="H196" s="175" t="s">
        <v>128</v>
      </c>
      <c r="I196" s="155">
        <f>I199</f>
        <v>175578</v>
      </c>
      <c r="J196" s="155">
        <f>J199</f>
        <v>116229</v>
      </c>
      <c r="K196" s="155">
        <f>K199</f>
        <v>116229</v>
      </c>
    </row>
    <row r="197" spans="1:11" ht="27">
      <c r="A197" s="154" t="s">
        <v>173</v>
      </c>
      <c r="B197" s="156" t="s">
        <v>206</v>
      </c>
      <c r="C197" s="176" t="s">
        <v>25</v>
      </c>
      <c r="D197" s="176" t="s">
        <v>1</v>
      </c>
      <c r="E197" s="147" t="s">
        <v>96</v>
      </c>
      <c r="F197" s="147" t="s">
        <v>316</v>
      </c>
      <c r="G197" s="176">
        <v>200</v>
      </c>
      <c r="H197" s="175"/>
      <c r="I197" s="155">
        <f aca="true" t="shared" si="19" ref="I197:K198">I198</f>
        <v>175578</v>
      </c>
      <c r="J197" s="155">
        <f t="shared" si="19"/>
        <v>116229</v>
      </c>
      <c r="K197" s="155">
        <f t="shared" si="19"/>
        <v>116229</v>
      </c>
    </row>
    <row r="198" spans="1:11" ht="27">
      <c r="A198" s="154" t="s">
        <v>278</v>
      </c>
      <c r="B198" s="156" t="s">
        <v>206</v>
      </c>
      <c r="C198" s="176" t="s">
        <v>25</v>
      </c>
      <c r="D198" s="176" t="s">
        <v>1</v>
      </c>
      <c r="E198" s="147" t="s">
        <v>96</v>
      </c>
      <c r="F198" s="147" t="s">
        <v>316</v>
      </c>
      <c r="G198" s="176">
        <v>240</v>
      </c>
      <c r="H198" s="175"/>
      <c r="I198" s="155">
        <f t="shared" si="19"/>
        <v>175578</v>
      </c>
      <c r="J198" s="155">
        <f t="shared" si="19"/>
        <v>116229</v>
      </c>
      <c r="K198" s="155">
        <f t="shared" si="19"/>
        <v>116229</v>
      </c>
    </row>
    <row r="199" spans="1:11" ht="18.75" customHeight="1">
      <c r="A199" s="154" t="s">
        <v>169</v>
      </c>
      <c r="B199" s="156" t="s">
        <v>206</v>
      </c>
      <c r="C199" s="176" t="s">
        <v>25</v>
      </c>
      <c r="D199" s="176" t="s">
        <v>1</v>
      </c>
      <c r="E199" s="147" t="s">
        <v>96</v>
      </c>
      <c r="F199" s="147" t="s">
        <v>316</v>
      </c>
      <c r="G199" s="176">
        <v>244</v>
      </c>
      <c r="H199" s="175" t="s">
        <v>128</v>
      </c>
      <c r="I199" s="155">
        <f>200000-24422</f>
        <v>175578</v>
      </c>
      <c r="J199" s="155">
        <f>J201+J202+J203+J204+J205+J200+J206</f>
        <v>116229</v>
      </c>
      <c r="K199" s="155">
        <f>K201+K202+K203+K204+K205+K200+K206</f>
        <v>116229</v>
      </c>
    </row>
    <row r="200" spans="1:11" ht="0.75" customHeight="1" hidden="1">
      <c r="A200" s="161" t="s">
        <v>16</v>
      </c>
      <c r="B200" s="156" t="s">
        <v>206</v>
      </c>
      <c r="C200" s="176" t="s">
        <v>25</v>
      </c>
      <c r="D200" s="176" t="s">
        <v>1</v>
      </c>
      <c r="E200" s="147" t="s">
        <v>96</v>
      </c>
      <c r="F200" s="147" t="s">
        <v>316</v>
      </c>
      <c r="G200" s="176">
        <v>244</v>
      </c>
      <c r="H200" s="175"/>
      <c r="I200" s="155">
        <v>20000</v>
      </c>
      <c r="J200" s="155">
        <v>20000</v>
      </c>
      <c r="K200" s="155">
        <v>20000</v>
      </c>
    </row>
    <row r="201" spans="1:11" ht="0.75" customHeight="1" hidden="1">
      <c r="A201" s="157" t="s">
        <v>107</v>
      </c>
      <c r="B201" s="156" t="s">
        <v>206</v>
      </c>
      <c r="C201" s="176" t="s">
        <v>25</v>
      </c>
      <c r="D201" s="176" t="s">
        <v>1</v>
      </c>
      <c r="E201" s="147" t="s">
        <v>96</v>
      </c>
      <c r="F201" s="147" t="s">
        <v>316</v>
      </c>
      <c r="G201" s="176">
        <v>244</v>
      </c>
      <c r="H201" s="176">
        <v>224</v>
      </c>
      <c r="I201" s="148">
        <v>10000</v>
      </c>
      <c r="J201" s="147">
        <v>10000</v>
      </c>
      <c r="K201" s="147">
        <v>10000</v>
      </c>
    </row>
    <row r="202" spans="1:11" ht="21.75" customHeight="1" hidden="1">
      <c r="A202" s="157" t="s">
        <v>17</v>
      </c>
      <c r="B202" s="156" t="s">
        <v>206</v>
      </c>
      <c r="C202" s="176" t="s">
        <v>25</v>
      </c>
      <c r="D202" s="176" t="s">
        <v>1</v>
      </c>
      <c r="E202" s="147" t="s">
        <v>96</v>
      </c>
      <c r="F202" s="147" t="s">
        <v>316</v>
      </c>
      <c r="G202" s="176">
        <v>244</v>
      </c>
      <c r="H202" s="176">
        <v>225</v>
      </c>
      <c r="I202" s="155">
        <f>25781+15000</f>
        <v>40781</v>
      </c>
      <c r="J202" s="147">
        <v>44300</v>
      </c>
      <c r="K202" s="147">
        <v>44300</v>
      </c>
    </row>
    <row r="203" spans="1:11" ht="21.75" customHeight="1" hidden="1">
      <c r="A203" s="157" t="s">
        <v>18</v>
      </c>
      <c r="B203" s="156" t="s">
        <v>206</v>
      </c>
      <c r="C203" s="176" t="s">
        <v>25</v>
      </c>
      <c r="D203" s="176" t="s">
        <v>1</v>
      </c>
      <c r="E203" s="147" t="s">
        <v>96</v>
      </c>
      <c r="F203" s="147" t="s">
        <v>316</v>
      </c>
      <c r="G203" s="176">
        <v>244</v>
      </c>
      <c r="H203" s="176">
        <v>226</v>
      </c>
      <c r="I203" s="190">
        <f>23855+10000+8291.39</f>
        <v>42146.39</v>
      </c>
      <c r="J203" s="147">
        <v>40900</v>
      </c>
      <c r="K203" s="147">
        <v>40900</v>
      </c>
    </row>
    <row r="204" spans="1:11" ht="0.75" customHeight="1" hidden="1">
      <c r="A204" s="157" t="s">
        <v>21</v>
      </c>
      <c r="B204" s="156" t="s">
        <v>206</v>
      </c>
      <c r="C204" s="176" t="s">
        <v>25</v>
      </c>
      <c r="D204" s="176" t="s">
        <v>1</v>
      </c>
      <c r="E204" s="147" t="s">
        <v>96</v>
      </c>
      <c r="F204" s="147" t="s">
        <v>316</v>
      </c>
      <c r="G204" s="176">
        <v>244</v>
      </c>
      <c r="H204" s="176">
        <v>310</v>
      </c>
      <c r="I204" s="148"/>
      <c r="J204" s="147"/>
      <c r="K204" s="147"/>
    </row>
    <row r="205" spans="1:11" ht="21.75" customHeight="1" hidden="1">
      <c r="A205" s="157" t="s">
        <v>140</v>
      </c>
      <c r="B205" s="156" t="s">
        <v>206</v>
      </c>
      <c r="C205" s="176" t="s">
        <v>25</v>
      </c>
      <c r="D205" s="176" t="s">
        <v>1</v>
      </c>
      <c r="E205" s="147" t="s">
        <v>96</v>
      </c>
      <c r="F205" s="147" t="s">
        <v>316</v>
      </c>
      <c r="G205" s="176">
        <v>244</v>
      </c>
      <c r="H205" s="176">
        <v>340</v>
      </c>
      <c r="I205" s="168">
        <f>3000+2000+10000</f>
        <v>15000</v>
      </c>
      <c r="J205" s="168">
        <v>1029</v>
      </c>
      <c r="K205" s="147">
        <v>1029</v>
      </c>
    </row>
    <row r="206" spans="1:11" ht="22.5" customHeight="1" hidden="1">
      <c r="A206" s="157" t="s">
        <v>19</v>
      </c>
      <c r="B206" s="156" t="s">
        <v>206</v>
      </c>
      <c r="C206" s="176" t="s">
        <v>25</v>
      </c>
      <c r="D206" s="176" t="s">
        <v>1</v>
      </c>
      <c r="E206" s="147" t="s">
        <v>96</v>
      </c>
      <c r="F206" s="147" t="s">
        <v>316</v>
      </c>
      <c r="G206" s="176">
        <v>244</v>
      </c>
      <c r="H206" s="176"/>
      <c r="I206" s="168">
        <v>5000</v>
      </c>
      <c r="J206" s="168"/>
      <c r="K206" s="147"/>
    </row>
    <row r="207" spans="1:11" ht="21" customHeight="1" hidden="1">
      <c r="A207" s="169" t="s">
        <v>287</v>
      </c>
      <c r="B207" s="159" t="s">
        <v>206</v>
      </c>
      <c r="C207" s="152" t="s">
        <v>25</v>
      </c>
      <c r="D207" s="152" t="s">
        <v>6</v>
      </c>
      <c r="E207" s="149" t="s">
        <v>253</v>
      </c>
      <c r="F207" s="149" t="s">
        <v>317</v>
      </c>
      <c r="G207" s="152"/>
      <c r="H207" s="175" t="s">
        <v>128</v>
      </c>
      <c r="I207" s="149">
        <f>I210</f>
        <v>0</v>
      </c>
      <c r="J207" s="149">
        <f>J210</f>
        <v>0</v>
      </c>
      <c r="K207" s="149">
        <f>K210</f>
        <v>0</v>
      </c>
    </row>
    <row r="208" spans="1:11" ht="20.25" customHeight="1" hidden="1">
      <c r="A208" s="154" t="s">
        <v>288</v>
      </c>
      <c r="B208" s="156" t="s">
        <v>206</v>
      </c>
      <c r="C208" s="176" t="s">
        <v>25</v>
      </c>
      <c r="D208" s="176" t="s">
        <v>6</v>
      </c>
      <c r="E208" s="147" t="s">
        <v>253</v>
      </c>
      <c r="F208" s="147" t="s">
        <v>318</v>
      </c>
      <c r="G208" s="176"/>
      <c r="H208" s="175"/>
      <c r="I208" s="149"/>
      <c r="J208" s="147"/>
      <c r="K208" s="147"/>
    </row>
    <row r="209" spans="1:11" ht="0.75" customHeight="1" hidden="1">
      <c r="A209" s="154" t="s">
        <v>276</v>
      </c>
      <c r="B209" s="156" t="s">
        <v>206</v>
      </c>
      <c r="C209" s="176" t="s">
        <v>25</v>
      </c>
      <c r="D209" s="176" t="s">
        <v>6</v>
      </c>
      <c r="E209" s="147" t="s">
        <v>253</v>
      </c>
      <c r="F209" s="147" t="s">
        <v>318</v>
      </c>
      <c r="G209" s="176" t="s">
        <v>4</v>
      </c>
      <c r="H209" s="175"/>
      <c r="I209" s="149">
        <f aca="true" t="shared" si="20" ref="I209:K210">I210</f>
        <v>0</v>
      </c>
      <c r="J209" s="149">
        <f t="shared" si="20"/>
        <v>0</v>
      </c>
      <c r="K209" s="149">
        <f t="shared" si="20"/>
        <v>0</v>
      </c>
    </row>
    <row r="210" spans="1:11" ht="0.75" customHeight="1" hidden="1">
      <c r="A210" s="154" t="s">
        <v>174</v>
      </c>
      <c r="B210" s="156" t="s">
        <v>206</v>
      </c>
      <c r="C210" s="176" t="s">
        <v>25</v>
      </c>
      <c r="D210" s="176" t="s">
        <v>6</v>
      </c>
      <c r="E210" s="147" t="s">
        <v>253</v>
      </c>
      <c r="F210" s="147" t="s">
        <v>318</v>
      </c>
      <c r="G210" s="176" t="s">
        <v>4</v>
      </c>
      <c r="H210" s="175" t="s">
        <v>128</v>
      </c>
      <c r="I210" s="147">
        <f t="shared" si="20"/>
        <v>0</v>
      </c>
      <c r="J210" s="147">
        <f t="shared" si="20"/>
        <v>0</v>
      </c>
      <c r="K210" s="147">
        <f t="shared" si="20"/>
        <v>0</v>
      </c>
    </row>
    <row r="211" spans="1:11" ht="21" customHeight="1" hidden="1">
      <c r="A211" s="154" t="s">
        <v>179</v>
      </c>
      <c r="B211" s="156" t="s">
        <v>206</v>
      </c>
      <c r="C211" s="176" t="s">
        <v>25</v>
      </c>
      <c r="D211" s="176" t="s">
        <v>6</v>
      </c>
      <c r="E211" s="147" t="s">
        <v>253</v>
      </c>
      <c r="F211" s="147" t="s">
        <v>318</v>
      </c>
      <c r="G211" s="147">
        <v>110</v>
      </c>
      <c r="H211" s="147">
        <v>210</v>
      </c>
      <c r="I211" s="147">
        <f>I212+I213</f>
        <v>0</v>
      </c>
      <c r="J211" s="147">
        <f>J212+J213</f>
        <v>0</v>
      </c>
      <c r="K211" s="147">
        <f>K212+K213</f>
        <v>0</v>
      </c>
    </row>
    <row r="212" spans="1:11" ht="21" customHeight="1" hidden="1">
      <c r="A212" s="157" t="s">
        <v>10</v>
      </c>
      <c r="B212" s="156" t="s">
        <v>206</v>
      </c>
      <c r="C212" s="176" t="s">
        <v>25</v>
      </c>
      <c r="D212" s="176" t="s">
        <v>6</v>
      </c>
      <c r="E212" s="147" t="s">
        <v>253</v>
      </c>
      <c r="F212" s="147"/>
      <c r="G212" s="147">
        <v>110</v>
      </c>
      <c r="H212" s="147">
        <v>211</v>
      </c>
      <c r="I212" s="147">
        <v>0</v>
      </c>
      <c r="J212" s="147"/>
      <c r="K212" s="147"/>
    </row>
    <row r="213" spans="1:11" ht="0.75" customHeight="1">
      <c r="A213" s="157" t="s">
        <v>12</v>
      </c>
      <c r="B213" s="156" t="s">
        <v>206</v>
      </c>
      <c r="C213" s="176" t="s">
        <v>25</v>
      </c>
      <c r="D213" s="176" t="s">
        <v>6</v>
      </c>
      <c r="E213" s="147" t="s">
        <v>253</v>
      </c>
      <c r="F213" s="147"/>
      <c r="G213" s="147">
        <v>110</v>
      </c>
      <c r="H213" s="147">
        <v>213</v>
      </c>
      <c r="I213" s="147">
        <v>0</v>
      </c>
      <c r="J213" s="147"/>
      <c r="K213" s="147"/>
    </row>
    <row r="214" spans="1:11" ht="20.25" customHeight="1">
      <c r="A214" s="157" t="s">
        <v>328</v>
      </c>
      <c r="B214" s="156"/>
      <c r="C214" s="176"/>
      <c r="D214" s="176"/>
      <c r="E214" s="147"/>
      <c r="F214" s="147"/>
      <c r="G214" s="147"/>
      <c r="H214" s="147"/>
      <c r="I214" s="147"/>
      <c r="J214" s="167">
        <f>('дох.3'!E48-'дох.3'!E41-'дох.3'!E39)*2.5%</f>
        <v>266853.2</v>
      </c>
      <c r="K214" s="167">
        <f>('дох.3'!F48-'дох.3'!F39-'дох.3'!F41)*5%</f>
        <v>544346.55</v>
      </c>
    </row>
    <row r="215" spans="1:13" ht="19.5" customHeight="1">
      <c r="A215" s="169" t="s">
        <v>257</v>
      </c>
      <c r="B215" s="149"/>
      <c r="C215" s="149"/>
      <c r="D215" s="149"/>
      <c r="E215" s="149"/>
      <c r="F215" s="149"/>
      <c r="G215" s="149"/>
      <c r="H215" s="149"/>
      <c r="I215" s="250">
        <f>I8+I166+0.1</f>
        <v>12948618.946133332</v>
      </c>
      <c r="J215" s="153">
        <f>J8+J166+J214</f>
        <v>11222528.2</v>
      </c>
      <c r="K215" s="153">
        <f>K8+K166+K214</f>
        <v>11440730.55</v>
      </c>
      <c r="M215" s="57"/>
    </row>
    <row r="217" spans="9:11" ht="12.75">
      <c r="I217" s="57"/>
      <c r="J217" s="57"/>
      <c r="K217" s="57"/>
    </row>
    <row r="220" spans="10:11" ht="12.75">
      <c r="J220" s="57"/>
      <c r="K220" s="57"/>
    </row>
    <row r="221" ht="12.75">
      <c r="J221" s="57"/>
    </row>
    <row r="222" spans="7:9" ht="12.75">
      <c r="G222" s="126"/>
      <c r="I222" s="57"/>
    </row>
    <row r="223" ht="12.75">
      <c r="I223" s="57"/>
    </row>
  </sheetData>
  <sheetProtection/>
  <mergeCells count="8">
    <mergeCell ref="E2:K2"/>
    <mergeCell ref="J6:K6"/>
    <mergeCell ref="A6:A7"/>
    <mergeCell ref="B6:G6"/>
    <mergeCell ref="H6:H7"/>
    <mergeCell ref="I6:I7"/>
    <mergeCell ref="F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7.375" style="200" customWidth="1"/>
    <col min="2" max="2" width="25.875" style="200" customWidth="1"/>
    <col min="3" max="3" width="14.25390625" style="200" customWidth="1"/>
    <col min="4" max="4" width="14.125" style="200" customWidth="1"/>
    <col min="5" max="5" width="12.125" style="200" customWidth="1"/>
    <col min="6" max="16384" width="9.125" style="200" customWidth="1"/>
  </cols>
  <sheetData>
    <row r="2" spans="1:5" ht="12.75">
      <c r="A2" s="270" t="s">
        <v>219</v>
      </c>
      <c r="B2" s="267"/>
      <c r="C2" s="267"/>
      <c r="D2" s="267"/>
      <c r="E2" s="267"/>
    </row>
    <row r="3" spans="1:7" ht="41.25" customHeight="1">
      <c r="A3" s="43"/>
      <c r="B3" s="264" t="s">
        <v>497</v>
      </c>
      <c r="C3" s="264"/>
      <c r="D3" s="264"/>
      <c r="E3" s="264"/>
      <c r="F3" s="187"/>
      <c r="G3" s="187"/>
    </row>
    <row r="4" spans="1:3" ht="12.75">
      <c r="A4" s="271"/>
      <c r="B4" s="271"/>
      <c r="C4" s="271"/>
    </row>
    <row r="5" spans="1:5" ht="12.75">
      <c r="A5" s="266" t="s">
        <v>203</v>
      </c>
      <c r="B5" s="266"/>
      <c r="C5" s="266"/>
      <c r="D5" s="267"/>
      <c r="E5" s="267"/>
    </row>
    <row r="6" spans="1:5" ht="14.25" customHeight="1">
      <c r="A6" s="268" t="s">
        <v>457</v>
      </c>
      <c r="B6" s="268"/>
      <c r="C6" s="268"/>
      <c r="D6" s="269"/>
      <c r="E6" s="269"/>
    </row>
    <row r="7" spans="1:5" ht="14.25" customHeight="1">
      <c r="A7" s="66"/>
      <c r="B7" s="66"/>
      <c r="C7" s="66"/>
      <c r="D7" s="144"/>
      <c r="E7" s="144"/>
    </row>
    <row r="8" spans="1:5" ht="15" customHeight="1" thickBot="1">
      <c r="A8" s="66"/>
      <c r="B8" s="66"/>
      <c r="C8" s="66"/>
      <c r="D8" s="145"/>
      <c r="E8" s="145" t="s">
        <v>329</v>
      </c>
    </row>
    <row r="9" spans="1:5" ht="12.75">
      <c r="A9" s="205" t="s">
        <v>31</v>
      </c>
      <c r="B9" s="205" t="s">
        <v>407</v>
      </c>
      <c r="C9" s="63" t="s">
        <v>391</v>
      </c>
      <c r="D9" s="63" t="s">
        <v>401</v>
      </c>
      <c r="E9" s="63" t="s">
        <v>463</v>
      </c>
    </row>
    <row r="10" spans="1:5" ht="25.5">
      <c r="A10" s="206" t="s">
        <v>408</v>
      </c>
      <c r="B10" s="207" t="s">
        <v>238</v>
      </c>
      <c r="C10" s="208">
        <f>'дох.3'!D47</f>
        <v>1417028.95</v>
      </c>
      <c r="D10" s="208">
        <f>'дох.3'!E47</f>
        <v>102648</v>
      </c>
      <c r="E10" s="208">
        <f>'дох.3'!F47</f>
        <v>108771</v>
      </c>
    </row>
    <row r="11" spans="1:5" ht="25.5">
      <c r="A11" s="206" t="s">
        <v>409</v>
      </c>
      <c r="B11" s="207" t="s">
        <v>410</v>
      </c>
      <c r="C11" s="201">
        <f>C13+C15</f>
        <v>1417028.95</v>
      </c>
      <c r="D11" s="201">
        <f>D13+D15</f>
        <v>102648</v>
      </c>
      <c r="E11" s="201">
        <f>E13+E15</f>
        <v>108772</v>
      </c>
    </row>
    <row r="12" spans="1:5" ht="25.5">
      <c r="A12" s="202" t="s">
        <v>411</v>
      </c>
      <c r="B12" s="209" t="s">
        <v>412</v>
      </c>
      <c r="C12" s="201">
        <f>C13</f>
        <v>1417028.95</v>
      </c>
      <c r="D12" s="201">
        <f>D13</f>
        <v>1519676.95</v>
      </c>
      <c r="E12" s="201">
        <f>E13</f>
        <v>211420</v>
      </c>
    </row>
    <row r="13" spans="1:5" ht="38.25">
      <c r="A13" s="202" t="s">
        <v>413</v>
      </c>
      <c r="B13" s="209" t="s">
        <v>414</v>
      </c>
      <c r="C13" s="201">
        <f>C10</f>
        <v>1417028.95</v>
      </c>
      <c r="D13" s="201">
        <f>C10+D10</f>
        <v>1519676.95</v>
      </c>
      <c r="E13" s="201">
        <f>D10+E10+1</f>
        <v>211420</v>
      </c>
    </row>
    <row r="14" spans="1:5" ht="25.5">
      <c r="A14" s="202" t="s">
        <v>415</v>
      </c>
      <c r="B14" s="209" t="s">
        <v>416</v>
      </c>
      <c r="C14" s="201">
        <f>C15</f>
        <v>0</v>
      </c>
      <c r="D14" s="201">
        <f>D15</f>
        <v>-1417028.95</v>
      </c>
      <c r="E14" s="201">
        <f>E15</f>
        <v>-102648</v>
      </c>
    </row>
    <row r="15" spans="1:5" ht="38.25">
      <c r="A15" s="202" t="s">
        <v>417</v>
      </c>
      <c r="B15" s="209" t="s">
        <v>418</v>
      </c>
      <c r="C15" s="201">
        <v>0</v>
      </c>
      <c r="D15" s="201">
        <f>-C10</f>
        <v>-1417028.95</v>
      </c>
      <c r="E15" s="201">
        <f>-D10</f>
        <v>-102648</v>
      </c>
    </row>
    <row r="16" spans="1:5" ht="25.5" hidden="1">
      <c r="A16" s="210" t="s">
        <v>451</v>
      </c>
      <c r="B16" s="207" t="s">
        <v>419</v>
      </c>
      <c r="C16" s="203">
        <v>0</v>
      </c>
      <c r="D16" s="203">
        <v>0</v>
      </c>
      <c r="E16" s="203">
        <v>0</v>
      </c>
    </row>
    <row r="17" spans="1:5" ht="38.25" hidden="1">
      <c r="A17" s="211" t="s">
        <v>420</v>
      </c>
      <c r="B17" s="212" t="s">
        <v>421</v>
      </c>
      <c r="C17" s="201"/>
      <c r="D17" s="201"/>
      <c r="E17" s="201"/>
    </row>
    <row r="18" spans="1:5" ht="38.25" hidden="1">
      <c r="A18" s="213" t="s">
        <v>422</v>
      </c>
      <c r="B18" s="209" t="s">
        <v>423</v>
      </c>
      <c r="C18" s="201"/>
      <c r="D18" s="201"/>
      <c r="E18" s="201"/>
    </row>
    <row r="19" spans="1:5" ht="38.25" hidden="1">
      <c r="A19" s="211" t="s">
        <v>424</v>
      </c>
      <c r="B19" s="209" t="s">
        <v>425</v>
      </c>
      <c r="C19" s="201">
        <f>C20</f>
        <v>0</v>
      </c>
      <c r="D19" s="201">
        <f>D20</f>
        <v>0</v>
      </c>
      <c r="E19" s="201">
        <f>E20</f>
        <v>0</v>
      </c>
    </row>
    <row r="20" spans="1:5" ht="38.25" hidden="1">
      <c r="A20" s="211" t="s">
        <v>426</v>
      </c>
      <c r="B20" s="209" t="s">
        <v>427</v>
      </c>
      <c r="C20" s="201">
        <v>0</v>
      </c>
      <c r="D20" s="201">
        <v>0</v>
      </c>
      <c r="E20" s="201">
        <v>0</v>
      </c>
    </row>
    <row r="21" spans="1:5" ht="25.5">
      <c r="A21" s="206" t="s">
        <v>428</v>
      </c>
      <c r="B21" s="207" t="s">
        <v>136</v>
      </c>
      <c r="C21" s="203">
        <f>C29+C22</f>
        <v>0</v>
      </c>
      <c r="D21" s="203">
        <f>D29+D22</f>
        <v>0</v>
      </c>
      <c r="E21" s="203">
        <f>E29+E22</f>
        <v>0</v>
      </c>
    </row>
    <row r="22" spans="1:5" ht="12.75">
      <c r="A22" s="211" t="s">
        <v>429</v>
      </c>
      <c r="B22" s="209" t="s">
        <v>430</v>
      </c>
      <c r="C22" s="201">
        <f>C23</f>
        <v>-12948618.95</v>
      </c>
      <c r="D22" s="201">
        <f aca="true" t="shared" si="0" ref="D22:E24">D23</f>
        <v>-11222528</v>
      </c>
      <c r="E22" s="201">
        <f t="shared" si="0"/>
        <v>-11440731</v>
      </c>
    </row>
    <row r="23" spans="1:5" ht="12.75">
      <c r="A23" s="211" t="s">
        <v>431</v>
      </c>
      <c r="B23" s="209" t="s">
        <v>432</v>
      </c>
      <c r="C23" s="201">
        <f>C24</f>
        <v>-12948618.95</v>
      </c>
      <c r="D23" s="201">
        <f t="shared" si="0"/>
        <v>-11222528</v>
      </c>
      <c r="E23" s="201">
        <f t="shared" si="0"/>
        <v>-11440731</v>
      </c>
    </row>
    <row r="24" spans="1:5" ht="25.5">
      <c r="A24" s="211" t="s">
        <v>433</v>
      </c>
      <c r="B24" s="209" t="s">
        <v>434</v>
      </c>
      <c r="C24" s="201">
        <f>C25</f>
        <v>-12948618.95</v>
      </c>
      <c r="D24" s="201">
        <f t="shared" si="0"/>
        <v>-11222528</v>
      </c>
      <c r="E24" s="201">
        <f t="shared" si="0"/>
        <v>-11440731</v>
      </c>
    </row>
    <row r="25" spans="1:5" ht="25.5">
      <c r="A25" s="202" t="s">
        <v>435</v>
      </c>
      <c r="B25" s="209" t="s">
        <v>436</v>
      </c>
      <c r="C25" s="201">
        <f>-C26</f>
        <v>-12948618.95</v>
      </c>
      <c r="D25" s="201">
        <f>-D26</f>
        <v>-11222528</v>
      </c>
      <c r="E25" s="201">
        <f>-E26</f>
        <v>-11440731</v>
      </c>
    </row>
    <row r="26" spans="1:5" ht="12.75">
      <c r="A26" s="211" t="s">
        <v>437</v>
      </c>
      <c r="B26" s="209" t="s">
        <v>438</v>
      </c>
      <c r="C26" s="201">
        <f>C27</f>
        <v>12948618.95</v>
      </c>
      <c r="D26" s="201">
        <f aca="true" t="shared" si="1" ref="D26:E28">D27</f>
        <v>11222528</v>
      </c>
      <c r="E26" s="201">
        <f t="shared" si="1"/>
        <v>11440731</v>
      </c>
    </row>
    <row r="27" spans="1:5" ht="12.75">
      <c r="A27" s="211" t="s">
        <v>439</v>
      </c>
      <c r="B27" s="209" t="s">
        <v>440</v>
      </c>
      <c r="C27" s="201">
        <f>C28</f>
        <v>12948618.95</v>
      </c>
      <c r="D27" s="201">
        <f t="shared" si="1"/>
        <v>11222528</v>
      </c>
      <c r="E27" s="201">
        <f t="shared" si="1"/>
        <v>11440731</v>
      </c>
    </row>
    <row r="28" spans="1:5" ht="25.5">
      <c r="A28" s="211" t="s">
        <v>441</v>
      </c>
      <c r="B28" s="209" t="s">
        <v>442</v>
      </c>
      <c r="C28" s="201">
        <f>C29</f>
        <v>12948618.95</v>
      </c>
      <c r="D28" s="201">
        <f t="shared" si="1"/>
        <v>11222528</v>
      </c>
      <c r="E28" s="201">
        <f t="shared" si="1"/>
        <v>11440731</v>
      </c>
    </row>
    <row r="29" spans="1:5" ht="25.5">
      <c r="A29" s="211" t="s">
        <v>443</v>
      </c>
      <c r="B29" s="209" t="s">
        <v>444</v>
      </c>
      <c r="C29" s="201">
        <f>'дох.3'!D48</f>
        <v>12948618.95</v>
      </c>
      <c r="D29" s="201">
        <f>'дох.3'!E48</f>
        <v>11222528</v>
      </c>
      <c r="E29" s="201">
        <f>'дох.3'!F48</f>
        <v>11440731</v>
      </c>
    </row>
    <row r="30" spans="1:5" ht="25.5" hidden="1">
      <c r="A30" s="211" t="s">
        <v>445</v>
      </c>
      <c r="B30" s="209" t="s">
        <v>446</v>
      </c>
      <c r="C30" s="204"/>
      <c r="D30" s="204"/>
      <c r="E30" s="204"/>
    </row>
    <row r="31" spans="1:5" ht="38.25" hidden="1">
      <c r="A31" s="211" t="s">
        <v>447</v>
      </c>
      <c r="B31" s="209" t="s">
        <v>448</v>
      </c>
      <c r="C31" s="204"/>
      <c r="D31" s="204"/>
      <c r="E31" s="204"/>
    </row>
    <row r="32" spans="1:5" ht="25.5">
      <c r="A32" s="206" t="s">
        <v>449</v>
      </c>
      <c r="B32" s="207" t="s">
        <v>450</v>
      </c>
      <c r="C32" s="201">
        <v>0</v>
      </c>
      <c r="D32" s="201">
        <v>0</v>
      </c>
      <c r="E32" s="201">
        <v>0</v>
      </c>
    </row>
  </sheetData>
  <sheetProtection/>
  <mergeCells count="5">
    <mergeCell ref="A5:E5"/>
    <mergeCell ref="A6:E6"/>
    <mergeCell ref="A2:E2"/>
    <mergeCell ref="A4:C4"/>
    <mergeCell ref="B3:E3"/>
  </mergeCells>
  <printOptions/>
  <pageMargins left="0.51" right="0.29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15.875" style="64" customWidth="1"/>
    <col min="2" max="2" width="19.25390625" style="64" customWidth="1"/>
    <col min="3" max="3" width="38.75390625" style="64" customWidth="1"/>
    <col min="4" max="4" width="48.125" style="64" customWidth="1"/>
    <col min="5" max="16384" width="9.125" style="64" customWidth="1"/>
  </cols>
  <sheetData>
    <row r="1" ht="13.5">
      <c r="D1" s="219" t="s">
        <v>186</v>
      </c>
    </row>
    <row r="2" spans="4:6" ht="81" customHeight="1">
      <c r="D2" s="220" t="s">
        <v>497</v>
      </c>
      <c r="E2" s="220"/>
      <c r="F2" s="220"/>
    </row>
    <row r="3" spans="1:4" ht="60" customHeight="1">
      <c r="A3" s="272" t="s">
        <v>458</v>
      </c>
      <c r="B3" s="273"/>
      <c r="C3" s="273"/>
      <c r="D3" s="273"/>
    </row>
    <row r="4" spans="1:4" ht="59.25" customHeight="1">
      <c r="A4" s="214" t="s">
        <v>236</v>
      </c>
      <c r="B4" s="214" t="s">
        <v>237</v>
      </c>
      <c r="C4" s="215" t="s">
        <v>64</v>
      </c>
      <c r="D4" s="216" t="s">
        <v>31</v>
      </c>
    </row>
    <row r="5" spans="1:4" ht="32.25" customHeight="1">
      <c r="A5" s="274">
        <v>158</v>
      </c>
      <c r="B5" s="274" t="s">
        <v>235</v>
      </c>
      <c r="C5" s="217" t="s">
        <v>410</v>
      </c>
      <c r="D5" s="215" t="s">
        <v>409</v>
      </c>
    </row>
    <row r="6" spans="1:4" ht="41.25" customHeight="1">
      <c r="A6" s="275"/>
      <c r="B6" s="275"/>
      <c r="C6" s="217" t="s">
        <v>412</v>
      </c>
      <c r="D6" s="215" t="s">
        <v>452</v>
      </c>
    </row>
    <row r="7" spans="1:4" ht="54" customHeight="1">
      <c r="A7" s="275"/>
      <c r="B7" s="275"/>
      <c r="C7" s="217" t="s">
        <v>414</v>
      </c>
      <c r="D7" s="215" t="s">
        <v>453</v>
      </c>
    </row>
    <row r="8" spans="1:4" ht="45.75" customHeight="1">
      <c r="A8" s="275"/>
      <c r="B8" s="275"/>
      <c r="C8" s="217" t="s">
        <v>416</v>
      </c>
      <c r="D8" s="215" t="s">
        <v>454</v>
      </c>
    </row>
    <row r="9" spans="1:4" ht="58.5" customHeight="1">
      <c r="A9" s="275"/>
      <c r="B9" s="275"/>
      <c r="C9" s="217" t="s">
        <v>418</v>
      </c>
      <c r="D9" s="215" t="s">
        <v>455</v>
      </c>
    </row>
    <row r="10" spans="1:4" ht="33" customHeight="1">
      <c r="A10" s="275"/>
      <c r="B10" s="275"/>
      <c r="C10" s="217" t="s">
        <v>136</v>
      </c>
      <c r="D10" s="217" t="s">
        <v>142</v>
      </c>
    </row>
    <row r="11" spans="1:4" ht="27" customHeight="1">
      <c r="A11" s="275"/>
      <c r="B11" s="275"/>
      <c r="C11" s="217" t="s">
        <v>180</v>
      </c>
      <c r="D11" s="217" t="s">
        <v>138</v>
      </c>
    </row>
    <row r="12" spans="1:4" ht="30">
      <c r="A12" s="275"/>
      <c r="B12" s="275"/>
      <c r="C12" s="217" t="s">
        <v>181</v>
      </c>
      <c r="D12" s="217" t="s">
        <v>143</v>
      </c>
    </row>
    <row r="13" spans="1:4" ht="28.5" customHeight="1">
      <c r="A13" s="275"/>
      <c r="B13" s="275"/>
      <c r="C13" s="218" t="s">
        <v>182</v>
      </c>
      <c r="D13" s="218" t="s">
        <v>144</v>
      </c>
    </row>
    <row r="14" spans="1:4" ht="18.75" customHeight="1">
      <c r="A14" s="275"/>
      <c r="B14" s="275"/>
      <c r="C14" s="217" t="s">
        <v>183</v>
      </c>
      <c r="D14" s="217" t="s">
        <v>137</v>
      </c>
    </row>
    <row r="15" spans="1:4" ht="30">
      <c r="A15" s="275"/>
      <c r="B15" s="275"/>
      <c r="C15" s="217" t="s">
        <v>184</v>
      </c>
      <c r="D15" s="217" t="s">
        <v>145</v>
      </c>
    </row>
    <row r="16" spans="1:4" ht="30.75" customHeight="1">
      <c r="A16" s="275"/>
      <c r="B16" s="275"/>
      <c r="C16" s="217" t="s">
        <v>185</v>
      </c>
      <c r="D16" s="217" t="s">
        <v>146</v>
      </c>
    </row>
    <row r="17" spans="1:4" ht="30">
      <c r="A17" s="275"/>
      <c r="B17" s="275"/>
      <c r="C17" s="221" t="s">
        <v>430</v>
      </c>
      <c r="D17" s="222" t="s">
        <v>429</v>
      </c>
    </row>
    <row r="18" spans="1:4" ht="30">
      <c r="A18" s="275"/>
      <c r="B18" s="275"/>
      <c r="C18" s="221" t="s">
        <v>432</v>
      </c>
      <c r="D18" s="222" t="s">
        <v>431</v>
      </c>
    </row>
    <row r="19" spans="1:4" ht="30">
      <c r="A19" s="275"/>
      <c r="B19" s="275"/>
      <c r="C19" s="221" t="s">
        <v>434</v>
      </c>
      <c r="D19" s="222" t="s">
        <v>433</v>
      </c>
    </row>
    <row r="20" spans="1:4" ht="30">
      <c r="A20" s="275"/>
      <c r="B20" s="275"/>
      <c r="C20" s="221" t="s">
        <v>436</v>
      </c>
      <c r="D20" s="223" t="s">
        <v>435</v>
      </c>
    </row>
    <row r="21" spans="1:4" ht="30">
      <c r="A21" s="275"/>
      <c r="B21" s="275"/>
      <c r="C21" s="221" t="s">
        <v>438</v>
      </c>
      <c r="D21" s="222" t="s">
        <v>437</v>
      </c>
    </row>
    <row r="22" spans="1:4" ht="30">
      <c r="A22" s="275"/>
      <c r="B22" s="275"/>
      <c r="C22" s="221" t="s">
        <v>440</v>
      </c>
      <c r="D22" s="222" t="s">
        <v>439</v>
      </c>
    </row>
    <row r="23" spans="1:4" ht="30">
      <c r="A23" s="275"/>
      <c r="B23" s="275"/>
      <c r="C23" s="221" t="s">
        <v>442</v>
      </c>
      <c r="D23" s="222" t="s">
        <v>441</v>
      </c>
    </row>
    <row r="24" spans="1:4" ht="30">
      <c r="A24" s="276"/>
      <c r="B24" s="276"/>
      <c r="C24" s="221" t="s">
        <v>444</v>
      </c>
      <c r="D24" s="222" t="s">
        <v>443</v>
      </c>
    </row>
  </sheetData>
  <sheetProtection/>
  <mergeCells count="3">
    <mergeCell ref="A3:D3"/>
    <mergeCell ref="B5:B24"/>
    <mergeCell ref="A5:A24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5.00390625" style="0" customWidth="1"/>
    <col min="2" max="2" width="32.125" style="0" customWidth="1"/>
    <col min="3" max="3" width="63.375" style="0" customWidth="1"/>
  </cols>
  <sheetData>
    <row r="1" spans="1:3" ht="12.75">
      <c r="A1" s="54"/>
      <c r="B1" s="54"/>
      <c r="C1" s="55" t="s">
        <v>187</v>
      </c>
    </row>
    <row r="2" spans="1:6" ht="51.75" customHeight="1">
      <c r="A2" s="52"/>
      <c r="B2" s="53"/>
      <c r="C2" s="188" t="s">
        <v>497</v>
      </c>
      <c r="D2" s="187"/>
      <c r="E2" s="187"/>
      <c r="F2" s="187"/>
    </row>
    <row r="3" spans="1:3" ht="47.25" customHeight="1" thickBot="1">
      <c r="A3" s="277" t="s">
        <v>220</v>
      </c>
      <c r="B3" s="277"/>
      <c r="C3" s="277"/>
    </row>
    <row r="4" spans="1:3" ht="30" customHeight="1" thickBot="1">
      <c r="A4" s="278" t="s">
        <v>221</v>
      </c>
      <c r="B4" s="278"/>
      <c r="C4" s="279" t="s">
        <v>222</v>
      </c>
    </row>
    <row r="5" spans="1:3" ht="51" customHeight="1" thickBot="1">
      <c r="A5" s="116" t="s">
        <v>223</v>
      </c>
      <c r="B5" s="117" t="s">
        <v>224</v>
      </c>
      <c r="C5" s="280"/>
    </row>
    <row r="6" spans="1:3" ht="32.25" thickBot="1">
      <c r="A6" s="118" t="s">
        <v>151</v>
      </c>
      <c r="B6" s="117"/>
      <c r="C6" s="119" t="s">
        <v>225</v>
      </c>
    </row>
    <row r="7" spans="1:3" ht="81.75" thickBot="1">
      <c r="A7" s="123" t="s">
        <v>151</v>
      </c>
      <c r="B7" s="120" t="s">
        <v>340</v>
      </c>
      <c r="C7" s="133" t="s">
        <v>337</v>
      </c>
    </row>
    <row r="8" spans="1:3" ht="54.75" thickBot="1">
      <c r="A8" s="123" t="s">
        <v>151</v>
      </c>
      <c r="B8" s="130" t="s">
        <v>385</v>
      </c>
      <c r="C8" s="133" t="s">
        <v>383</v>
      </c>
    </row>
    <row r="9" spans="1:3" ht="42.75" customHeight="1" thickBot="1">
      <c r="A9" s="123" t="s">
        <v>151</v>
      </c>
      <c r="B9" s="120" t="s">
        <v>230</v>
      </c>
      <c r="C9" s="121" t="s">
        <v>231</v>
      </c>
    </row>
    <row r="10" spans="1:3" ht="30.75" thickBot="1">
      <c r="A10" s="123" t="s">
        <v>151</v>
      </c>
      <c r="B10" s="120" t="s">
        <v>232</v>
      </c>
      <c r="C10" s="121" t="s">
        <v>233</v>
      </c>
    </row>
    <row r="11" spans="1:3" ht="176.25" customHeight="1" thickBot="1">
      <c r="A11" s="118" t="s">
        <v>151</v>
      </c>
      <c r="B11" s="243" t="s">
        <v>491</v>
      </c>
      <c r="C11" s="121" t="s">
        <v>490</v>
      </c>
    </row>
    <row r="12" spans="1:3" ht="30.75" thickBot="1">
      <c r="A12" s="67" t="s">
        <v>108</v>
      </c>
      <c r="B12" s="122" t="s">
        <v>338</v>
      </c>
      <c r="C12" s="121" t="s">
        <v>227</v>
      </c>
    </row>
    <row r="13" spans="1:3" ht="21" customHeight="1" thickBot="1">
      <c r="A13" s="67" t="s">
        <v>108</v>
      </c>
      <c r="B13" s="122" t="s">
        <v>339</v>
      </c>
      <c r="C13" s="121" t="s">
        <v>228</v>
      </c>
    </row>
    <row r="14" spans="1:3" ht="32.25" thickBot="1">
      <c r="A14" s="125" t="s">
        <v>234</v>
      </c>
      <c r="B14" s="120"/>
      <c r="C14" s="119" t="s">
        <v>235</v>
      </c>
    </row>
    <row r="15" spans="1:3" ht="30.75" thickBot="1">
      <c r="A15" s="67">
        <v>158</v>
      </c>
      <c r="B15" s="122" t="s">
        <v>226</v>
      </c>
      <c r="C15" s="121" t="s">
        <v>227</v>
      </c>
    </row>
    <row r="16" spans="1:3" ht="30.75" thickBot="1">
      <c r="A16" s="67">
        <v>158</v>
      </c>
      <c r="B16" s="122" t="s">
        <v>375</v>
      </c>
      <c r="C16" s="121" t="s">
        <v>326</v>
      </c>
    </row>
    <row r="17" spans="1:3" ht="49.5" customHeight="1" thickBot="1">
      <c r="A17" s="67">
        <v>158</v>
      </c>
      <c r="B17" s="122" t="s">
        <v>376</v>
      </c>
      <c r="C17" s="185" t="s">
        <v>320</v>
      </c>
    </row>
    <row r="18" spans="1:3" ht="49.5" customHeight="1" thickBot="1">
      <c r="A18" s="67">
        <v>158</v>
      </c>
      <c r="B18" s="122" t="s">
        <v>494</v>
      </c>
      <c r="C18" s="185" t="s">
        <v>495</v>
      </c>
    </row>
    <row r="19" spans="1:3" ht="36" customHeight="1" thickBot="1">
      <c r="A19" s="67">
        <v>158</v>
      </c>
      <c r="B19" s="122" t="s">
        <v>377</v>
      </c>
      <c r="C19" s="124" t="s">
        <v>321</v>
      </c>
    </row>
    <row r="20" spans="1:3" ht="63" customHeight="1" thickBot="1">
      <c r="A20" s="67">
        <v>158</v>
      </c>
      <c r="B20" s="122" t="s">
        <v>378</v>
      </c>
      <c r="C20" s="121" t="s">
        <v>322</v>
      </c>
    </row>
    <row r="21" spans="1:3" ht="54" customHeight="1" thickBot="1">
      <c r="A21" s="67">
        <v>158</v>
      </c>
      <c r="B21" s="122" t="s">
        <v>379</v>
      </c>
      <c r="C21" s="68" t="s">
        <v>323</v>
      </c>
    </row>
    <row r="22" spans="1:3" ht="28.5" customHeight="1" thickBot="1">
      <c r="A22" s="67">
        <v>158</v>
      </c>
      <c r="B22" s="122" t="s">
        <v>380</v>
      </c>
      <c r="C22" s="124" t="s">
        <v>324</v>
      </c>
    </row>
    <row r="23" spans="1:3" ht="111" customHeight="1" thickBot="1">
      <c r="A23" s="67">
        <v>158</v>
      </c>
      <c r="B23" s="122" t="s">
        <v>384</v>
      </c>
      <c r="C23" s="121" t="s">
        <v>229</v>
      </c>
    </row>
    <row r="24" spans="1:3" ht="15">
      <c r="A24" s="281"/>
      <c r="B24" s="281"/>
      <c r="C24" s="281"/>
    </row>
    <row r="25" spans="1:3" ht="15">
      <c r="A25" s="65"/>
      <c r="B25" s="65"/>
      <c r="C25" s="65"/>
    </row>
    <row r="26" spans="1:3" ht="15">
      <c r="A26" s="65"/>
      <c r="B26" s="65"/>
      <c r="C26" s="65"/>
    </row>
  </sheetData>
  <sheetProtection/>
  <mergeCells count="4">
    <mergeCell ref="A3:C3"/>
    <mergeCell ref="A4:B4"/>
    <mergeCell ref="C4:C5"/>
    <mergeCell ref="A24:C24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3">
      <selection activeCell="D48" sqref="D48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5.25390625" style="0" customWidth="1"/>
    <col min="5" max="5" width="14.25390625" style="0" customWidth="1"/>
    <col min="6" max="6" width="13.625" style="0" customWidth="1"/>
    <col min="7" max="7" width="13.125" style="0" customWidth="1"/>
    <col min="8" max="8" width="26.375" style="0" customWidth="1"/>
  </cols>
  <sheetData>
    <row r="1" spans="1:4" ht="12.75">
      <c r="A1" s="310"/>
      <c r="B1" s="296"/>
      <c r="C1" s="296"/>
      <c r="D1" s="296"/>
    </row>
    <row r="2" spans="1:6" ht="12.75">
      <c r="A2" s="310"/>
      <c r="B2" s="251" t="s">
        <v>239</v>
      </c>
      <c r="C2" s="251"/>
      <c r="D2" s="251"/>
      <c r="E2" s="252"/>
      <c r="F2" s="252"/>
    </row>
    <row r="3" spans="1:6" ht="25.5" customHeight="1">
      <c r="A3" s="44"/>
      <c r="B3" s="42"/>
      <c r="C3" s="251" t="s">
        <v>497</v>
      </c>
      <c r="D3" s="314"/>
      <c r="E3" s="252"/>
      <c r="F3" s="252"/>
    </row>
    <row r="4" spans="1:6" ht="23.25" customHeight="1">
      <c r="A4" s="315" t="s">
        <v>459</v>
      </c>
      <c r="B4" s="315"/>
      <c r="C4" s="315"/>
      <c r="D4" s="315"/>
      <c r="E4" s="316"/>
      <c r="F4" s="316"/>
    </row>
    <row r="5" spans="1:6" ht="14.25" thickBot="1">
      <c r="A5" s="297"/>
      <c r="B5" s="297"/>
      <c r="C5" s="69"/>
      <c r="D5" s="313" t="s">
        <v>112</v>
      </c>
      <c r="E5" s="313"/>
      <c r="F5" s="313"/>
    </row>
    <row r="6" spans="1:6" ht="13.5">
      <c r="A6" s="298" t="s">
        <v>64</v>
      </c>
      <c r="B6" s="299"/>
      <c r="C6" s="302" t="s">
        <v>154</v>
      </c>
      <c r="D6" s="304" t="s">
        <v>462</v>
      </c>
      <c r="E6" s="317" t="s">
        <v>325</v>
      </c>
      <c r="F6" s="318"/>
    </row>
    <row r="7" spans="1:6" ht="14.25" thickBot="1">
      <c r="A7" s="300"/>
      <c r="B7" s="301"/>
      <c r="C7" s="303"/>
      <c r="D7" s="305"/>
      <c r="E7" s="70" t="s">
        <v>401</v>
      </c>
      <c r="F7" s="71" t="s">
        <v>463</v>
      </c>
    </row>
    <row r="8" spans="1:6" ht="18" customHeight="1" thickBot="1">
      <c r="A8" s="311" t="s">
        <v>48</v>
      </c>
      <c r="B8" s="312"/>
      <c r="C8" s="72" t="s">
        <v>49</v>
      </c>
      <c r="D8" s="138">
        <f>SUM(D10+D20+D18+D13+D27)+D31</f>
        <v>2627690</v>
      </c>
      <c r="E8" s="194">
        <f>SUM(E10+E20+E18+E13+E27)</f>
        <v>2737280</v>
      </c>
      <c r="F8" s="194">
        <f>SUM(F10+F20+F18+F13+F27)</f>
        <v>2900560</v>
      </c>
    </row>
    <row r="9" spans="1:6" ht="15.75" customHeight="1" thickBot="1">
      <c r="A9" s="294" t="s">
        <v>50</v>
      </c>
      <c r="B9" s="295"/>
      <c r="C9" s="75" t="s">
        <v>159</v>
      </c>
      <c r="D9" s="76">
        <f aca="true" t="shared" si="0" ref="D9:F11">SUM(D10)</f>
        <v>400000</v>
      </c>
      <c r="E9" s="76">
        <f t="shared" si="0"/>
        <v>400000</v>
      </c>
      <c r="F9" s="79">
        <f t="shared" si="0"/>
        <v>400000</v>
      </c>
    </row>
    <row r="10" spans="1:6" ht="17.25" customHeight="1" thickBot="1">
      <c r="A10" s="294" t="s">
        <v>52</v>
      </c>
      <c r="B10" s="295"/>
      <c r="C10" s="78" t="s">
        <v>51</v>
      </c>
      <c r="D10" s="76">
        <f t="shared" si="0"/>
        <v>400000</v>
      </c>
      <c r="E10" s="76">
        <f t="shared" si="0"/>
        <v>400000</v>
      </c>
      <c r="F10" s="79">
        <f t="shared" si="0"/>
        <v>400000</v>
      </c>
    </row>
    <row r="11" spans="1:8" ht="17.25" customHeight="1" thickBot="1">
      <c r="A11" s="294" t="s">
        <v>53</v>
      </c>
      <c r="B11" s="295"/>
      <c r="C11" s="78" t="s">
        <v>54</v>
      </c>
      <c r="D11" s="76">
        <f t="shared" si="0"/>
        <v>400000</v>
      </c>
      <c r="E11" s="76">
        <f t="shared" si="0"/>
        <v>400000</v>
      </c>
      <c r="F11" s="79">
        <f t="shared" si="0"/>
        <v>400000</v>
      </c>
      <c r="G11" s="285"/>
      <c r="H11" s="252"/>
    </row>
    <row r="12" spans="1:8" ht="39.75" customHeight="1" thickBot="1">
      <c r="A12" s="294" t="s">
        <v>158</v>
      </c>
      <c r="B12" s="295"/>
      <c r="C12" s="114" t="s">
        <v>330</v>
      </c>
      <c r="D12" s="80">
        <v>400000</v>
      </c>
      <c r="E12" s="81">
        <v>400000</v>
      </c>
      <c r="F12" s="82">
        <v>400000</v>
      </c>
      <c r="G12" s="286"/>
      <c r="H12" s="252"/>
    </row>
    <row r="13" spans="1:8" ht="36.75" customHeight="1" thickBot="1">
      <c r="A13" s="83" t="s">
        <v>360</v>
      </c>
      <c r="B13" s="84"/>
      <c r="C13" s="115" t="s">
        <v>200</v>
      </c>
      <c r="D13" s="137">
        <f>SUM(D14:D17)</f>
        <v>1945590</v>
      </c>
      <c r="E13" s="137">
        <f>SUM(E14:E17)</f>
        <v>2039450</v>
      </c>
      <c r="F13" s="142">
        <f>SUM(F14:F17)</f>
        <v>2202730</v>
      </c>
      <c r="G13" s="50"/>
      <c r="H13" s="51"/>
    </row>
    <row r="14" spans="1:8" ht="53.25" customHeight="1" thickBot="1">
      <c r="A14" s="85" t="s">
        <v>386</v>
      </c>
      <c r="B14" s="86"/>
      <c r="C14" s="87" t="s">
        <v>195</v>
      </c>
      <c r="D14" s="138">
        <v>879660</v>
      </c>
      <c r="E14" s="143">
        <v>912450</v>
      </c>
      <c r="F14" s="141">
        <v>969830</v>
      </c>
      <c r="G14" s="50"/>
      <c r="H14" s="51"/>
    </row>
    <row r="15" spans="1:8" ht="65.25" customHeight="1" thickBot="1">
      <c r="A15" s="89" t="s">
        <v>387</v>
      </c>
      <c r="B15" s="90"/>
      <c r="C15" s="91" t="s">
        <v>196</v>
      </c>
      <c r="D15" s="76">
        <v>4870</v>
      </c>
      <c r="E15" s="92">
        <v>5110</v>
      </c>
      <c r="F15" s="93">
        <v>5610</v>
      </c>
      <c r="G15" s="50"/>
      <c r="H15" s="51"/>
    </row>
    <row r="16" spans="1:8" ht="67.5" customHeight="1" thickBot="1">
      <c r="A16" s="89" t="s">
        <v>388</v>
      </c>
      <c r="B16" s="90"/>
      <c r="C16" s="91" t="s">
        <v>198</v>
      </c>
      <c r="D16" s="76">
        <v>1171360</v>
      </c>
      <c r="E16" s="81">
        <v>1234960</v>
      </c>
      <c r="F16" s="88">
        <v>1351750</v>
      </c>
      <c r="G16" s="50"/>
      <c r="H16" s="51"/>
    </row>
    <row r="17" spans="1:8" ht="39.75" customHeight="1" thickBot="1">
      <c r="A17" s="89" t="s">
        <v>389</v>
      </c>
      <c r="B17" s="90"/>
      <c r="C17" s="91" t="s">
        <v>197</v>
      </c>
      <c r="D17" s="76">
        <v>-110300</v>
      </c>
      <c r="E17" s="73">
        <v>-113070</v>
      </c>
      <c r="F17" s="77">
        <v>-124460</v>
      </c>
      <c r="G17" s="50"/>
      <c r="H17" s="51"/>
    </row>
    <row r="18" spans="1:6" ht="14.25" thickBot="1">
      <c r="A18" s="294" t="s">
        <v>124</v>
      </c>
      <c r="B18" s="295"/>
      <c r="C18" s="78" t="s">
        <v>135</v>
      </c>
      <c r="D18" s="76">
        <f>D19</f>
        <v>25000</v>
      </c>
      <c r="E18" s="76">
        <f>E19</f>
        <v>30730</v>
      </c>
      <c r="F18" s="77">
        <f>F19</f>
        <v>30730</v>
      </c>
    </row>
    <row r="19" spans="1:6" ht="15.75" customHeight="1" thickBot="1">
      <c r="A19" s="73" t="s">
        <v>147</v>
      </c>
      <c r="B19" s="74"/>
      <c r="C19" s="94" t="s">
        <v>125</v>
      </c>
      <c r="D19" s="95">
        <v>25000</v>
      </c>
      <c r="E19" s="92">
        <v>30730</v>
      </c>
      <c r="F19" s="93">
        <v>30730</v>
      </c>
    </row>
    <row r="20" spans="1:6" ht="14.25" thickBot="1">
      <c r="A20" s="294" t="s">
        <v>55</v>
      </c>
      <c r="B20" s="295"/>
      <c r="C20" s="78" t="s">
        <v>56</v>
      </c>
      <c r="D20" s="76">
        <f>SUM(D21+D23)</f>
        <v>237000</v>
      </c>
      <c r="E20" s="73">
        <f>SUM(E21+E23)</f>
        <v>247000</v>
      </c>
      <c r="F20" s="77">
        <f>SUM(F21+F23)</f>
        <v>247000</v>
      </c>
    </row>
    <row r="21" spans="1:8" ht="14.25" thickBot="1">
      <c r="A21" s="294" t="s">
        <v>114</v>
      </c>
      <c r="B21" s="295"/>
      <c r="C21" s="78" t="s">
        <v>115</v>
      </c>
      <c r="D21" s="76">
        <f>D22</f>
        <v>12000</v>
      </c>
      <c r="E21" s="76">
        <f>E22</f>
        <v>12000</v>
      </c>
      <c r="F21" s="79">
        <f>F22</f>
        <v>12000</v>
      </c>
      <c r="G21" s="287"/>
      <c r="H21" s="288"/>
    </row>
    <row r="22" spans="1:8" ht="44.25" customHeight="1" thickBot="1">
      <c r="A22" s="292" t="s">
        <v>80</v>
      </c>
      <c r="B22" s="293"/>
      <c r="C22" s="97" t="s">
        <v>148</v>
      </c>
      <c r="D22" s="98">
        <v>12000</v>
      </c>
      <c r="E22" s="99">
        <v>12000</v>
      </c>
      <c r="F22" s="100">
        <v>12000</v>
      </c>
      <c r="G22" s="286"/>
      <c r="H22" s="252"/>
    </row>
    <row r="23" spans="1:6" ht="14.25" thickBot="1">
      <c r="A23" s="294" t="s">
        <v>57</v>
      </c>
      <c r="B23" s="295"/>
      <c r="C23" s="78" t="s">
        <v>58</v>
      </c>
      <c r="D23" s="76">
        <f>SUM(D24+D26)</f>
        <v>225000</v>
      </c>
      <c r="E23" s="73">
        <f>SUM(E24+E26)</f>
        <v>235000</v>
      </c>
      <c r="F23" s="77">
        <f>SUM(F24+F26)</f>
        <v>235000</v>
      </c>
    </row>
    <row r="24" spans="1:8" ht="27" customHeight="1" thickBot="1">
      <c r="A24" s="294" t="s">
        <v>116</v>
      </c>
      <c r="B24" s="295"/>
      <c r="C24" s="78" t="s">
        <v>117</v>
      </c>
      <c r="D24" s="98">
        <f>SUM(D25)</f>
        <v>65000</v>
      </c>
      <c r="E24" s="98">
        <f>SUM(E25)</f>
        <v>65000</v>
      </c>
      <c r="F24" s="82">
        <f>SUM(F25)</f>
        <v>65000</v>
      </c>
      <c r="G24" s="286"/>
      <c r="H24" s="252"/>
    </row>
    <row r="25" spans="1:8" ht="54" customHeight="1" thickBot="1">
      <c r="A25" s="292" t="s">
        <v>241</v>
      </c>
      <c r="B25" s="293"/>
      <c r="C25" s="97" t="s">
        <v>118</v>
      </c>
      <c r="D25" s="98">
        <v>65000</v>
      </c>
      <c r="E25" s="92">
        <v>65000</v>
      </c>
      <c r="F25" s="93">
        <v>65000</v>
      </c>
      <c r="G25" s="289"/>
      <c r="H25" s="288"/>
    </row>
    <row r="26" spans="1:8" ht="54" customHeight="1" thickBot="1">
      <c r="A26" s="93" t="s">
        <v>242</v>
      </c>
      <c r="B26" s="96"/>
      <c r="C26" s="97" t="s">
        <v>189</v>
      </c>
      <c r="D26" s="98">
        <v>160000</v>
      </c>
      <c r="E26" s="93">
        <v>170000</v>
      </c>
      <c r="F26" s="93">
        <v>170000</v>
      </c>
      <c r="G26" s="49"/>
      <c r="H26" s="48"/>
    </row>
    <row r="27" spans="1:8" ht="54" customHeight="1" thickBot="1">
      <c r="A27" s="127" t="s">
        <v>332</v>
      </c>
      <c r="B27" s="96"/>
      <c r="C27" s="131" t="s">
        <v>331</v>
      </c>
      <c r="D27" s="98">
        <f aca="true" t="shared" si="1" ref="D27:F29">D28</f>
        <v>20100</v>
      </c>
      <c r="E27" s="98">
        <f t="shared" si="1"/>
        <v>20100</v>
      </c>
      <c r="F27" s="93">
        <f t="shared" si="1"/>
        <v>20100</v>
      </c>
      <c r="G27" s="49"/>
      <c r="H27" s="48"/>
    </row>
    <row r="28" spans="1:8" ht="54" customHeight="1" hidden="1" thickBot="1">
      <c r="A28" s="128" t="s">
        <v>334</v>
      </c>
      <c r="B28" s="96"/>
      <c r="C28" s="132" t="s">
        <v>333</v>
      </c>
      <c r="D28" s="98">
        <f t="shared" si="1"/>
        <v>20100</v>
      </c>
      <c r="E28" s="98">
        <f t="shared" si="1"/>
        <v>20100</v>
      </c>
      <c r="F28" s="93">
        <f t="shared" si="1"/>
        <v>20100</v>
      </c>
      <c r="G28" s="49"/>
      <c r="H28" s="48"/>
    </row>
    <row r="29" spans="1:8" ht="54" customHeight="1" hidden="1" thickBot="1">
      <c r="A29" s="129" t="s">
        <v>336</v>
      </c>
      <c r="B29" s="96"/>
      <c r="C29" s="134" t="s">
        <v>335</v>
      </c>
      <c r="D29" s="98">
        <f t="shared" si="1"/>
        <v>20100</v>
      </c>
      <c r="E29" s="98">
        <f t="shared" si="1"/>
        <v>20100</v>
      </c>
      <c r="F29" s="93">
        <f t="shared" si="1"/>
        <v>20100</v>
      </c>
      <c r="G29" s="49"/>
      <c r="H29" s="48"/>
    </row>
    <row r="30" spans="1:8" ht="69" customHeight="1" thickBot="1">
      <c r="A30" s="130" t="s">
        <v>381</v>
      </c>
      <c r="B30" s="96"/>
      <c r="C30" s="133" t="s">
        <v>337</v>
      </c>
      <c r="D30" s="98">
        <v>20100</v>
      </c>
      <c r="E30" s="81">
        <v>20100</v>
      </c>
      <c r="F30" s="88">
        <v>20100</v>
      </c>
      <c r="G30" s="49"/>
      <c r="H30" s="48"/>
    </row>
    <row r="31" spans="1:8" ht="69" customHeight="1" hidden="1" thickBot="1">
      <c r="A31" s="130" t="s">
        <v>382</v>
      </c>
      <c r="B31" s="96"/>
      <c r="C31" s="133" t="s">
        <v>383</v>
      </c>
      <c r="D31" s="189">
        <v>0</v>
      </c>
      <c r="E31" s="191"/>
      <c r="F31" s="192"/>
      <c r="G31" s="49"/>
      <c r="H31" s="48"/>
    </row>
    <row r="32" spans="1:8" ht="2.25" customHeight="1" hidden="1" thickBot="1">
      <c r="A32" s="130" t="s">
        <v>361</v>
      </c>
      <c r="B32" s="96"/>
      <c r="C32" s="133" t="s">
        <v>362</v>
      </c>
      <c r="D32" s="98"/>
      <c r="E32" s="89"/>
      <c r="F32" s="186"/>
      <c r="G32" s="49"/>
      <c r="H32" s="48"/>
    </row>
    <row r="33" spans="1:6" ht="18" customHeight="1" thickBot="1">
      <c r="A33" s="292"/>
      <c r="B33" s="293"/>
      <c r="C33" s="101" t="s">
        <v>149</v>
      </c>
      <c r="D33" s="76">
        <f>D8</f>
        <v>2627690</v>
      </c>
      <c r="E33" s="76">
        <f>E8</f>
        <v>2737280</v>
      </c>
      <c r="F33" s="79">
        <f>F8</f>
        <v>2900560</v>
      </c>
    </row>
    <row r="34" spans="1:6" ht="18" customHeight="1" thickBot="1">
      <c r="A34" s="294" t="s">
        <v>119</v>
      </c>
      <c r="B34" s="295"/>
      <c r="C34" s="72" t="s">
        <v>59</v>
      </c>
      <c r="D34" s="76">
        <f>SUM(D35)</f>
        <v>8903900</v>
      </c>
      <c r="E34" s="73">
        <f>SUM(E35)</f>
        <v>8382600</v>
      </c>
      <c r="F34" s="77">
        <f>SUM(F35)</f>
        <v>8431400</v>
      </c>
    </row>
    <row r="35" spans="1:6" ht="27" customHeight="1" thickBot="1">
      <c r="A35" s="294" t="s">
        <v>120</v>
      </c>
      <c r="B35" s="295"/>
      <c r="C35" s="105" t="s">
        <v>157</v>
      </c>
      <c r="D35" s="76">
        <f>SUM(D36+D39+D41)</f>
        <v>8903900</v>
      </c>
      <c r="E35" s="73">
        <f>SUM(E36+E39+E41)</f>
        <v>8382600</v>
      </c>
      <c r="F35" s="77">
        <f>SUM(F36+F39+F41)</f>
        <v>8431400</v>
      </c>
    </row>
    <row r="36" spans="1:6" ht="24" customHeight="1" thickBot="1">
      <c r="A36" s="294" t="s">
        <v>367</v>
      </c>
      <c r="B36" s="295"/>
      <c r="C36" s="78" t="s">
        <v>495</v>
      </c>
      <c r="D36" s="76">
        <f>D37+D38</f>
        <v>8347100</v>
      </c>
      <c r="E36" s="76">
        <f>E37+E38</f>
        <v>7834200</v>
      </c>
      <c r="F36" s="193">
        <f>F37+F38</f>
        <v>7877600</v>
      </c>
    </row>
    <row r="37" spans="1:6" ht="39" customHeight="1" thickBot="1">
      <c r="A37" s="292" t="s">
        <v>492</v>
      </c>
      <c r="B37" s="293"/>
      <c r="C37" s="97" t="s">
        <v>121</v>
      </c>
      <c r="D37" s="76">
        <v>1124800</v>
      </c>
      <c r="E37" s="76">
        <v>1935000</v>
      </c>
      <c r="F37" s="79">
        <v>2026100</v>
      </c>
    </row>
    <row r="38" spans="1:6" ht="46.5" customHeight="1" thickBot="1">
      <c r="A38" s="292" t="s">
        <v>492</v>
      </c>
      <c r="B38" s="293"/>
      <c r="C38" s="97" t="s">
        <v>493</v>
      </c>
      <c r="D38" s="92">
        <v>7222300</v>
      </c>
      <c r="E38" s="92">
        <v>5899200</v>
      </c>
      <c r="F38" s="93">
        <v>5851500</v>
      </c>
    </row>
    <row r="39" spans="1:8" ht="36.75" customHeight="1" thickBot="1">
      <c r="A39" s="294" t="s">
        <v>368</v>
      </c>
      <c r="B39" s="295"/>
      <c r="C39" s="78" t="s">
        <v>122</v>
      </c>
      <c r="D39" s="76">
        <f>SUM(D40)</f>
        <v>413300</v>
      </c>
      <c r="E39" s="76">
        <f>SUM(E40)</f>
        <v>400000</v>
      </c>
      <c r="F39" s="79">
        <f>SUM(F40)</f>
        <v>400000</v>
      </c>
      <c r="G39" s="267"/>
      <c r="H39" s="282"/>
    </row>
    <row r="40" spans="1:7" ht="26.25" customHeight="1" thickBot="1">
      <c r="A40" s="292" t="s">
        <v>369</v>
      </c>
      <c r="B40" s="293"/>
      <c r="C40" s="97" t="s">
        <v>321</v>
      </c>
      <c r="D40" s="98">
        <v>413300</v>
      </c>
      <c r="E40" s="92">
        <v>400000</v>
      </c>
      <c r="F40" s="93">
        <v>400000</v>
      </c>
      <c r="G40" s="47"/>
    </row>
    <row r="41" spans="1:6" ht="26.25" customHeight="1" thickBot="1">
      <c r="A41" s="294" t="s">
        <v>370</v>
      </c>
      <c r="B41" s="295"/>
      <c r="C41" s="102" t="s">
        <v>327</v>
      </c>
      <c r="D41" s="103">
        <f>SUM(D42+D44)</f>
        <v>143500</v>
      </c>
      <c r="E41" s="103">
        <f>SUM(E42+E44)</f>
        <v>148400</v>
      </c>
      <c r="F41" s="104">
        <f>SUM(F42+F44)</f>
        <v>153800</v>
      </c>
    </row>
    <row r="42" spans="1:6" ht="40.5" customHeight="1" thickBot="1">
      <c r="A42" s="294" t="s">
        <v>371</v>
      </c>
      <c r="B42" s="295"/>
      <c r="C42" s="102" t="s">
        <v>156</v>
      </c>
      <c r="D42" s="103">
        <f>SUM(D43)</f>
        <v>142800</v>
      </c>
      <c r="E42" s="103">
        <f>SUM(E43)</f>
        <v>147700</v>
      </c>
      <c r="F42" s="104">
        <f>SUM(F43)</f>
        <v>153100</v>
      </c>
    </row>
    <row r="43" spans="1:6" ht="43.5" customHeight="1" thickBot="1">
      <c r="A43" s="292" t="s">
        <v>372</v>
      </c>
      <c r="B43" s="293"/>
      <c r="C43" s="97" t="s">
        <v>322</v>
      </c>
      <c r="D43" s="139">
        <v>142800</v>
      </c>
      <c r="E43" s="140">
        <v>147700</v>
      </c>
      <c r="F43" s="141">
        <v>153100</v>
      </c>
    </row>
    <row r="44" spans="1:6" ht="33" customHeight="1" thickBot="1">
      <c r="A44" s="294" t="s">
        <v>374</v>
      </c>
      <c r="B44" s="295"/>
      <c r="C44" s="105" t="s">
        <v>155</v>
      </c>
      <c r="D44" s="73">
        <f>D45</f>
        <v>700</v>
      </c>
      <c r="E44" s="73">
        <f>E45</f>
        <v>700</v>
      </c>
      <c r="F44" s="77">
        <f>F45</f>
        <v>700</v>
      </c>
    </row>
    <row r="45" spans="1:8" ht="36.75" customHeight="1" thickBot="1">
      <c r="A45" s="292" t="s">
        <v>373</v>
      </c>
      <c r="B45" s="293"/>
      <c r="C45" s="91" t="s">
        <v>323</v>
      </c>
      <c r="D45" s="92">
        <f>700</f>
        <v>700</v>
      </c>
      <c r="E45" s="81">
        <f>700</f>
        <v>700</v>
      </c>
      <c r="F45" s="93">
        <f>700</f>
        <v>700</v>
      </c>
      <c r="G45" s="283"/>
      <c r="H45" s="284"/>
    </row>
    <row r="46" spans="1:6" ht="15" customHeight="1" thickBot="1">
      <c r="A46" s="290"/>
      <c r="B46" s="291"/>
      <c r="C46" s="136" t="s">
        <v>60</v>
      </c>
      <c r="D46" s="198">
        <f>SUM(D33+D34)</f>
        <v>11531590</v>
      </c>
      <c r="E46" s="199">
        <f>SUM(E33+E34)</f>
        <v>11119880</v>
      </c>
      <c r="F46" s="197">
        <f>SUM(F33+F34)</f>
        <v>11331960</v>
      </c>
    </row>
    <row r="47" spans="1:6" ht="16.5" customHeight="1" thickBot="1">
      <c r="A47" s="292"/>
      <c r="B47" s="293"/>
      <c r="C47" s="106" t="s">
        <v>61</v>
      </c>
      <c r="D47" s="248">
        <f>98538+1318490.95</f>
        <v>1417028.95</v>
      </c>
      <c r="E47" s="107">
        <f>E8*3.75%</f>
        <v>102648</v>
      </c>
      <c r="F47" s="108">
        <f>F8*3.75%</f>
        <v>108771</v>
      </c>
    </row>
    <row r="48" spans="1:6" ht="17.25" customHeight="1" thickBot="1">
      <c r="A48" s="292"/>
      <c r="B48" s="293"/>
      <c r="C48" s="109" t="s">
        <v>111</v>
      </c>
      <c r="D48" s="249">
        <f>SUM(D33+D34+D47)</f>
        <v>12948618.95</v>
      </c>
      <c r="E48" s="110">
        <f>SUM(E33+E34+E47)</f>
        <v>11222528</v>
      </c>
      <c r="F48" s="111">
        <f>SUM(F33+F34+F47)</f>
        <v>11440731</v>
      </c>
    </row>
    <row r="49" spans="1:6" ht="13.5">
      <c r="A49" s="112"/>
      <c r="B49" s="112"/>
      <c r="C49" s="113"/>
      <c r="D49" s="112"/>
      <c r="E49" s="64"/>
      <c r="F49" s="64"/>
    </row>
    <row r="50" spans="1:6" ht="13.5">
      <c r="A50" s="308"/>
      <c r="B50" s="308"/>
      <c r="C50" s="308"/>
      <c r="D50" s="309"/>
      <c r="E50" s="64"/>
      <c r="F50" s="64"/>
    </row>
    <row r="51" spans="1:4" ht="12.75">
      <c r="A51" s="45"/>
      <c r="B51" s="45"/>
      <c r="C51" s="45"/>
      <c r="D51" s="45"/>
    </row>
    <row r="52" ht="12.75">
      <c r="A52" s="46" t="s">
        <v>150</v>
      </c>
    </row>
    <row r="55" spans="3:4" ht="12.75">
      <c r="C55" s="306"/>
      <c r="D55" s="307"/>
    </row>
  </sheetData>
  <sheetProtection/>
  <mergeCells count="49">
    <mergeCell ref="A21:B21"/>
    <mergeCell ref="A22:B22"/>
    <mergeCell ref="D5:F5"/>
    <mergeCell ref="C3:F3"/>
    <mergeCell ref="A4:F4"/>
    <mergeCell ref="E6:F6"/>
    <mergeCell ref="C55:D55"/>
    <mergeCell ref="A50:D50"/>
    <mergeCell ref="A48:B48"/>
    <mergeCell ref="A1:A2"/>
    <mergeCell ref="A8:B8"/>
    <mergeCell ref="A35:B35"/>
    <mergeCell ref="A36:B36"/>
    <mergeCell ref="A38:B38"/>
    <mergeCell ref="A9:B9"/>
    <mergeCell ref="A37:B37"/>
    <mergeCell ref="B1:D1"/>
    <mergeCell ref="A5:B5"/>
    <mergeCell ref="A6:B7"/>
    <mergeCell ref="C6:C7"/>
    <mergeCell ref="D6:D7"/>
    <mergeCell ref="A11:B11"/>
    <mergeCell ref="B2:F2"/>
    <mergeCell ref="A10:B10"/>
    <mergeCell ref="A40:B40"/>
    <mergeCell ref="A12:B12"/>
    <mergeCell ref="A18:B18"/>
    <mergeCell ref="A25:B25"/>
    <mergeCell ref="A33:B33"/>
    <mergeCell ref="A20:B20"/>
    <mergeCell ref="A34:B34"/>
    <mergeCell ref="A39:B39"/>
    <mergeCell ref="A23:B23"/>
    <mergeCell ref="A24:B24"/>
    <mergeCell ref="A46:B46"/>
    <mergeCell ref="A47:B47"/>
    <mergeCell ref="A41:B41"/>
    <mergeCell ref="A44:B44"/>
    <mergeCell ref="A45:B45"/>
    <mergeCell ref="A42:B42"/>
    <mergeCell ref="A43:B43"/>
    <mergeCell ref="G39:H39"/>
    <mergeCell ref="G45:H45"/>
    <mergeCell ref="G11:H11"/>
    <mergeCell ref="G12:H12"/>
    <mergeCell ref="G21:H21"/>
    <mergeCell ref="G22:H22"/>
    <mergeCell ref="G24:H24"/>
    <mergeCell ref="G25:H25"/>
  </mergeCells>
  <printOptions/>
  <pageMargins left="0.5905511811023623" right="0.35433070866141736" top="0.1968503937007874" bottom="0.2755905511811024" header="0.15748031496062992" footer="0.2362204724409449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320" t="s">
        <v>98</v>
      </c>
      <c r="F1" s="320"/>
      <c r="G1" s="320"/>
      <c r="H1" s="320"/>
    </row>
    <row r="2" spans="5:8" ht="12.75">
      <c r="E2" s="31" t="s">
        <v>66</v>
      </c>
      <c r="F2" s="31"/>
      <c r="G2" s="31"/>
      <c r="H2" s="31"/>
    </row>
    <row r="3" spans="1:8" ht="12.75">
      <c r="A3" s="27"/>
      <c r="E3" t="s">
        <v>99</v>
      </c>
      <c r="G3" s="31"/>
      <c r="H3" s="31"/>
    </row>
    <row r="4" spans="1:8" ht="12.75">
      <c r="A4" s="27"/>
      <c r="E4" t="s">
        <v>100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319" t="s">
        <v>103</v>
      </c>
      <c r="B6" s="319"/>
      <c r="C6" s="319"/>
      <c r="D6" s="319"/>
      <c r="E6" s="319"/>
      <c r="F6" s="319"/>
      <c r="G6" s="319"/>
      <c r="H6" s="319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65</v>
      </c>
      <c r="H9" s="14" t="s">
        <v>38</v>
      </c>
    </row>
    <row r="10" spans="1:10" ht="25.5">
      <c r="A10" s="28" t="s">
        <v>102</v>
      </c>
      <c r="B10" s="17" t="s">
        <v>101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101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81</v>
      </c>
      <c r="B14" s="17" t="s">
        <v>101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82</v>
      </c>
      <c r="B15" s="17" t="s">
        <v>101</v>
      </c>
      <c r="C15" s="4" t="s">
        <v>1</v>
      </c>
      <c r="D15" s="3" t="s">
        <v>39</v>
      </c>
      <c r="E15" s="4" t="s">
        <v>83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84</v>
      </c>
      <c r="B16" s="17" t="s">
        <v>101</v>
      </c>
      <c r="C16" s="4" t="s">
        <v>1</v>
      </c>
      <c r="D16" s="3" t="s">
        <v>39</v>
      </c>
      <c r="E16" s="4" t="s">
        <v>85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86</v>
      </c>
      <c r="B17" s="17" t="s">
        <v>101</v>
      </c>
      <c r="C17" s="4" t="s">
        <v>1</v>
      </c>
      <c r="D17" s="3" t="s">
        <v>39</v>
      </c>
      <c r="E17" s="4" t="s">
        <v>85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101</v>
      </c>
      <c r="C18" s="4" t="s">
        <v>1</v>
      </c>
      <c r="D18" s="3" t="s">
        <v>39</v>
      </c>
      <c r="E18" s="4" t="s">
        <v>85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101</v>
      </c>
      <c r="C19" s="4" t="s">
        <v>1</v>
      </c>
      <c r="D19" s="3" t="s">
        <v>39</v>
      </c>
      <c r="E19" s="4" t="s">
        <v>85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101</v>
      </c>
      <c r="C20" s="4" t="s">
        <v>1</v>
      </c>
      <c r="D20" s="3" t="s">
        <v>39</v>
      </c>
      <c r="E20" s="4" t="s">
        <v>85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101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101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101</v>
      </c>
      <c r="C23" s="4" t="s">
        <v>1</v>
      </c>
      <c r="D23" s="3" t="s">
        <v>6</v>
      </c>
      <c r="E23" s="4" t="s">
        <v>83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97</v>
      </c>
      <c r="B24" s="17" t="s">
        <v>101</v>
      </c>
      <c r="C24" s="4" t="s">
        <v>1</v>
      </c>
      <c r="D24" s="3" t="s">
        <v>6</v>
      </c>
      <c r="E24" s="4" t="s">
        <v>87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89</v>
      </c>
      <c r="B25" s="17" t="s">
        <v>101</v>
      </c>
      <c r="C25" s="4" t="s">
        <v>1</v>
      </c>
      <c r="D25" s="3" t="s">
        <v>6</v>
      </c>
      <c r="E25" s="4" t="s">
        <v>87</v>
      </c>
      <c r="F25" s="3" t="s">
        <v>88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101</v>
      </c>
      <c r="C26" s="4" t="s">
        <v>1</v>
      </c>
      <c r="D26" s="3" t="s">
        <v>6</v>
      </c>
      <c r="E26" s="4" t="s">
        <v>87</v>
      </c>
      <c r="F26" s="3" t="s">
        <v>88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101</v>
      </c>
      <c r="C27" s="4" t="s">
        <v>1</v>
      </c>
      <c r="D27" s="3" t="s">
        <v>6</v>
      </c>
      <c r="E27" s="4" t="s">
        <v>87</v>
      </c>
      <c r="F27" s="3" t="s">
        <v>88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101</v>
      </c>
      <c r="C28" s="4" t="s">
        <v>1</v>
      </c>
      <c r="D28" s="3" t="s">
        <v>6</v>
      </c>
      <c r="E28" s="4" t="s">
        <v>87</v>
      </c>
      <c r="F28" s="3" t="s">
        <v>88</v>
      </c>
      <c r="G28" s="4">
        <v>212</v>
      </c>
      <c r="H28" s="2"/>
    </row>
    <row r="29" spans="1:8" ht="12.75">
      <c r="A29" s="15" t="s">
        <v>12</v>
      </c>
      <c r="B29" s="17" t="s">
        <v>101</v>
      </c>
      <c r="C29" s="4" t="s">
        <v>1</v>
      </c>
      <c r="D29" s="3" t="s">
        <v>6</v>
      </c>
      <c r="E29" s="4" t="s">
        <v>87</v>
      </c>
      <c r="F29" s="3" t="s">
        <v>88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101</v>
      </c>
      <c r="C30" s="4" t="s">
        <v>1</v>
      </c>
      <c r="D30" s="3" t="s">
        <v>6</v>
      </c>
      <c r="E30" s="4" t="s">
        <v>87</v>
      </c>
      <c r="F30" s="3" t="s">
        <v>88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101</v>
      </c>
      <c r="C31" s="4" t="s">
        <v>1</v>
      </c>
      <c r="D31" s="3" t="s">
        <v>6</v>
      </c>
      <c r="E31" s="4" t="s">
        <v>87</v>
      </c>
      <c r="F31" s="3" t="s">
        <v>88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101</v>
      </c>
      <c r="C32" s="4" t="s">
        <v>1</v>
      </c>
      <c r="D32" s="3" t="s">
        <v>6</v>
      </c>
      <c r="E32" s="4" t="s">
        <v>87</v>
      </c>
      <c r="F32" s="3" t="s">
        <v>88</v>
      </c>
      <c r="G32" s="4">
        <v>222</v>
      </c>
      <c r="H32" s="25"/>
    </row>
    <row r="33" spans="1:8" ht="12.75">
      <c r="A33" s="15" t="s">
        <v>16</v>
      </c>
      <c r="B33" s="17" t="s">
        <v>101</v>
      </c>
      <c r="C33" s="4" t="s">
        <v>1</v>
      </c>
      <c r="D33" s="3" t="s">
        <v>6</v>
      </c>
      <c r="E33" s="4" t="s">
        <v>87</v>
      </c>
      <c r="F33" s="3" t="s">
        <v>88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101</v>
      </c>
      <c r="C34" s="4" t="s">
        <v>1</v>
      </c>
      <c r="D34" s="3" t="s">
        <v>6</v>
      </c>
      <c r="E34" s="4" t="s">
        <v>87</v>
      </c>
      <c r="F34" s="3" t="s">
        <v>88</v>
      </c>
      <c r="G34" s="4">
        <v>225</v>
      </c>
      <c r="H34" s="25"/>
    </row>
    <row r="35" spans="1:8" ht="12.75">
      <c r="A35" s="15" t="s">
        <v>18</v>
      </c>
      <c r="B35" s="17" t="s">
        <v>101</v>
      </c>
      <c r="C35" s="4" t="s">
        <v>1</v>
      </c>
      <c r="D35" s="3" t="s">
        <v>6</v>
      </c>
      <c r="E35" s="4" t="s">
        <v>87</v>
      </c>
      <c r="F35" s="3" t="s">
        <v>88</v>
      </c>
      <c r="G35" s="4">
        <v>226</v>
      </c>
      <c r="H35" s="25">
        <v>70</v>
      </c>
    </row>
    <row r="36" spans="1:8" ht="12.75">
      <c r="A36" s="15" t="s">
        <v>19</v>
      </c>
      <c r="B36" s="17" t="s">
        <v>101</v>
      </c>
      <c r="C36" s="4" t="s">
        <v>1</v>
      </c>
      <c r="D36" s="3" t="s">
        <v>6</v>
      </c>
      <c r="E36" s="4" t="s">
        <v>87</v>
      </c>
      <c r="F36" s="3" t="s">
        <v>88</v>
      </c>
      <c r="G36" s="4">
        <v>290</v>
      </c>
      <c r="H36" s="25">
        <v>10</v>
      </c>
    </row>
    <row r="37" spans="1:8" ht="12.75">
      <c r="A37" s="15" t="s">
        <v>20</v>
      </c>
      <c r="B37" s="17" t="s">
        <v>101</v>
      </c>
      <c r="C37" s="4" t="s">
        <v>1</v>
      </c>
      <c r="D37" s="3" t="s">
        <v>6</v>
      </c>
      <c r="E37" s="4" t="s">
        <v>87</v>
      </c>
      <c r="F37" s="3" t="s">
        <v>88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101</v>
      </c>
      <c r="C38" s="4" t="s">
        <v>1</v>
      </c>
      <c r="D38" s="3" t="s">
        <v>6</v>
      </c>
      <c r="E38" s="4" t="s">
        <v>87</v>
      </c>
      <c r="F38" s="3" t="s">
        <v>88</v>
      </c>
      <c r="G38" s="4">
        <v>310</v>
      </c>
      <c r="H38" s="25">
        <v>20</v>
      </c>
    </row>
    <row r="39" spans="1:8" ht="12.75">
      <c r="A39" s="15" t="s">
        <v>22</v>
      </c>
      <c r="B39" s="17" t="s">
        <v>101</v>
      </c>
      <c r="C39" s="4" t="s">
        <v>1</v>
      </c>
      <c r="D39" s="3" t="s">
        <v>6</v>
      </c>
      <c r="E39" s="4" t="s">
        <v>87</v>
      </c>
      <c r="F39" s="3" t="s">
        <v>88</v>
      </c>
      <c r="G39" s="4">
        <v>340</v>
      </c>
      <c r="H39" s="25">
        <v>47.1</v>
      </c>
    </row>
    <row r="40" spans="1:8" ht="6.75" customHeight="1">
      <c r="A40" s="15"/>
      <c r="B40" s="17" t="s">
        <v>101</v>
      </c>
      <c r="C40" s="4"/>
      <c r="D40" s="3"/>
      <c r="E40" s="4"/>
      <c r="F40" s="3"/>
      <c r="G40" s="4"/>
      <c r="H40" s="2"/>
    </row>
    <row r="41" spans="1:8" ht="13.5" customHeight="1">
      <c r="A41" s="15" t="s">
        <v>68</v>
      </c>
      <c r="B41" s="17" t="s">
        <v>101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67</v>
      </c>
      <c r="B42" s="17" t="s">
        <v>101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101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90</v>
      </c>
      <c r="B44" s="17" t="s">
        <v>101</v>
      </c>
      <c r="C44" s="3" t="s">
        <v>39</v>
      </c>
      <c r="D44" s="3" t="s">
        <v>43</v>
      </c>
      <c r="E44" s="4" t="s">
        <v>91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86</v>
      </c>
      <c r="B45" s="17" t="s">
        <v>101</v>
      </c>
      <c r="C45" s="3" t="s">
        <v>39</v>
      </c>
      <c r="D45" s="3" t="s">
        <v>43</v>
      </c>
      <c r="E45" s="4" t="s">
        <v>91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101</v>
      </c>
      <c r="C46" s="3" t="s">
        <v>39</v>
      </c>
      <c r="D46" s="3" t="s">
        <v>43</v>
      </c>
      <c r="E46" s="4" t="s">
        <v>91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101</v>
      </c>
      <c r="C47" s="3" t="s">
        <v>39</v>
      </c>
      <c r="D47" s="3" t="s">
        <v>43</v>
      </c>
      <c r="E47" s="4" t="s">
        <v>91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101</v>
      </c>
      <c r="C48" s="3" t="s">
        <v>39</v>
      </c>
      <c r="D48" s="3" t="s">
        <v>43</v>
      </c>
      <c r="E48" s="4" t="s">
        <v>91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101</v>
      </c>
      <c r="C49" s="4"/>
      <c r="D49" s="3"/>
      <c r="E49" s="4"/>
      <c r="F49" s="3"/>
      <c r="G49" s="4"/>
      <c r="H49" s="2"/>
    </row>
    <row r="50" spans="1:8" ht="12.75">
      <c r="A50" s="29" t="s">
        <v>104</v>
      </c>
      <c r="B50" s="17" t="s">
        <v>101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101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101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92</v>
      </c>
      <c r="B53" s="17" t="s">
        <v>101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101</v>
      </c>
      <c r="C54" s="5" t="s">
        <v>25</v>
      </c>
      <c r="D54" s="6" t="s">
        <v>1</v>
      </c>
      <c r="E54" s="4" t="s">
        <v>93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94</v>
      </c>
      <c r="B55" s="17" t="s">
        <v>101</v>
      </c>
      <c r="C55" s="5" t="s">
        <v>25</v>
      </c>
      <c r="D55" s="6" t="s">
        <v>1</v>
      </c>
      <c r="E55" s="4" t="s">
        <v>93</v>
      </c>
      <c r="F55" s="6" t="s">
        <v>95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101</v>
      </c>
      <c r="C56" s="5" t="s">
        <v>25</v>
      </c>
      <c r="D56" s="6" t="s">
        <v>1</v>
      </c>
      <c r="E56" s="4" t="s">
        <v>93</v>
      </c>
      <c r="F56" s="6" t="s">
        <v>95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101</v>
      </c>
      <c r="C57" s="5" t="s">
        <v>25</v>
      </c>
      <c r="D57" s="6" t="s">
        <v>1</v>
      </c>
      <c r="E57" s="4" t="s">
        <v>93</v>
      </c>
      <c r="F57" s="6" t="s">
        <v>95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101</v>
      </c>
      <c r="C58" s="5" t="s">
        <v>25</v>
      </c>
      <c r="D58" s="6" t="s">
        <v>1</v>
      </c>
      <c r="E58" s="4" t="s">
        <v>93</v>
      </c>
      <c r="F58" s="6" t="s">
        <v>95</v>
      </c>
      <c r="G58" s="4">
        <v>212</v>
      </c>
      <c r="H58" s="2">
        <v>8.5</v>
      </c>
    </row>
    <row r="59" spans="1:8" ht="12.75">
      <c r="A59" s="15" t="s">
        <v>12</v>
      </c>
      <c r="B59" s="17" t="s">
        <v>101</v>
      </c>
      <c r="C59" s="5" t="s">
        <v>25</v>
      </c>
      <c r="D59" s="6" t="s">
        <v>1</v>
      </c>
      <c r="E59" s="4" t="s">
        <v>93</v>
      </c>
      <c r="F59" s="6" t="s">
        <v>95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101</v>
      </c>
      <c r="C60" s="5" t="s">
        <v>25</v>
      </c>
      <c r="D60" s="6" t="s">
        <v>1</v>
      </c>
      <c r="E60" s="4" t="s">
        <v>93</v>
      </c>
      <c r="F60" s="6" t="s">
        <v>95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101</v>
      </c>
      <c r="C61" s="5" t="s">
        <v>25</v>
      </c>
      <c r="D61" s="6" t="s">
        <v>1</v>
      </c>
      <c r="E61" s="4" t="s">
        <v>93</v>
      </c>
      <c r="F61" s="6" t="s">
        <v>95</v>
      </c>
      <c r="G61" s="4">
        <v>221</v>
      </c>
      <c r="H61" s="2"/>
    </row>
    <row r="62" spans="1:8" ht="12.75" hidden="1">
      <c r="A62" s="15" t="s">
        <v>15</v>
      </c>
      <c r="B62" s="17" t="s">
        <v>101</v>
      </c>
      <c r="C62" s="5" t="s">
        <v>25</v>
      </c>
      <c r="D62" s="6" t="s">
        <v>1</v>
      </c>
      <c r="E62" s="4" t="s">
        <v>93</v>
      </c>
      <c r="F62" s="6" t="s">
        <v>95</v>
      </c>
      <c r="G62" s="4">
        <v>222</v>
      </c>
      <c r="H62" s="2"/>
    </row>
    <row r="63" spans="1:8" ht="12.75">
      <c r="A63" s="15" t="s">
        <v>16</v>
      </c>
      <c r="B63" s="17" t="s">
        <v>101</v>
      </c>
      <c r="C63" s="5" t="s">
        <v>25</v>
      </c>
      <c r="D63" s="6" t="s">
        <v>1</v>
      </c>
      <c r="E63" s="4" t="s">
        <v>93</v>
      </c>
      <c r="F63" s="6" t="s">
        <v>95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101</v>
      </c>
      <c r="C64" s="5" t="s">
        <v>25</v>
      </c>
      <c r="D64" s="6" t="s">
        <v>1</v>
      </c>
      <c r="E64" s="4" t="s">
        <v>93</v>
      </c>
      <c r="F64" s="6" t="s">
        <v>95</v>
      </c>
      <c r="G64" s="4">
        <v>225</v>
      </c>
      <c r="H64" s="2"/>
    </row>
    <row r="65" spans="1:8" ht="12.75" hidden="1">
      <c r="A65" s="15" t="s">
        <v>18</v>
      </c>
      <c r="B65" s="17" t="s">
        <v>101</v>
      </c>
      <c r="C65" s="5" t="s">
        <v>25</v>
      </c>
      <c r="D65" s="6" t="s">
        <v>1</v>
      </c>
      <c r="E65" s="4" t="s">
        <v>93</v>
      </c>
      <c r="F65" s="6" t="s">
        <v>95</v>
      </c>
      <c r="G65" s="4">
        <v>226</v>
      </c>
      <c r="H65" s="2"/>
    </row>
    <row r="66" spans="1:8" ht="12.75">
      <c r="A66" s="15" t="s">
        <v>19</v>
      </c>
      <c r="B66" s="17" t="s">
        <v>101</v>
      </c>
      <c r="C66" s="5" t="s">
        <v>25</v>
      </c>
      <c r="D66" s="6" t="s">
        <v>1</v>
      </c>
      <c r="E66" s="4" t="s">
        <v>93</v>
      </c>
      <c r="F66" s="6" t="s">
        <v>95</v>
      </c>
      <c r="G66" s="4">
        <v>290</v>
      </c>
      <c r="H66" s="2">
        <v>10</v>
      </c>
    </row>
    <row r="67" spans="1:8" ht="12.75">
      <c r="A67" s="15" t="s">
        <v>20</v>
      </c>
      <c r="B67" s="17" t="s">
        <v>101</v>
      </c>
      <c r="C67" s="5" t="s">
        <v>25</v>
      </c>
      <c r="D67" s="6" t="s">
        <v>1</v>
      </c>
      <c r="E67" s="4" t="s">
        <v>93</v>
      </c>
      <c r="F67" s="6" t="s">
        <v>95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101</v>
      </c>
      <c r="C68" s="5" t="s">
        <v>25</v>
      </c>
      <c r="D68" s="6" t="s">
        <v>1</v>
      </c>
      <c r="E68" s="4" t="s">
        <v>93</v>
      </c>
      <c r="F68" s="6" t="s">
        <v>95</v>
      </c>
      <c r="G68" s="4">
        <v>310</v>
      </c>
      <c r="H68" s="2">
        <v>10</v>
      </c>
    </row>
    <row r="69" spans="1:8" ht="12.75">
      <c r="A69" s="15" t="s">
        <v>22</v>
      </c>
      <c r="B69" s="17" t="s">
        <v>101</v>
      </c>
      <c r="C69" s="5" t="s">
        <v>25</v>
      </c>
      <c r="D69" s="6" t="s">
        <v>1</v>
      </c>
      <c r="E69" s="4" t="s">
        <v>93</v>
      </c>
      <c r="F69" s="6" t="s">
        <v>95</v>
      </c>
      <c r="G69" s="4">
        <v>340</v>
      </c>
      <c r="H69" s="2">
        <v>20</v>
      </c>
    </row>
    <row r="70" spans="1:8" ht="6" customHeight="1">
      <c r="A70" s="15"/>
      <c r="B70" s="17" t="s">
        <v>101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105</v>
      </c>
      <c r="B73" s="3" t="s">
        <v>63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63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63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63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63</v>
      </c>
      <c r="C77" s="5" t="s">
        <v>25</v>
      </c>
      <c r="D77" s="6" t="s">
        <v>1</v>
      </c>
      <c r="E77" s="4" t="s">
        <v>96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94</v>
      </c>
      <c r="B78" s="3" t="s">
        <v>63</v>
      </c>
      <c r="C78" s="5" t="s">
        <v>25</v>
      </c>
      <c r="D78" s="6" t="s">
        <v>1</v>
      </c>
      <c r="E78" s="4" t="s">
        <v>96</v>
      </c>
      <c r="F78" s="6" t="s">
        <v>95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63</v>
      </c>
      <c r="C79" s="5" t="s">
        <v>25</v>
      </c>
      <c r="D79" s="6" t="s">
        <v>1</v>
      </c>
      <c r="E79" s="4" t="s">
        <v>96</v>
      </c>
      <c r="F79" s="6" t="s">
        <v>95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63</v>
      </c>
      <c r="C80" s="5" t="s">
        <v>25</v>
      </c>
      <c r="D80" s="6" t="s">
        <v>1</v>
      </c>
      <c r="E80" s="4" t="s">
        <v>96</v>
      </c>
      <c r="F80" s="6" t="s">
        <v>95</v>
      </c>
      <c r="G80" s="4">
        <v>211</v>
      </c>
      <c r="H80" s="2">
        <v>267.8</v>
      </c>
    </row>
    <row r="81" spans="1:8" ht="12.75">
      <c r="A81" s="15" t="s">
        <v>11</v>
      </c>
      <c r="B81" s="3" t="s">
        <v>63</v>
      </c>
      <c r="C81" s="5" t="s">
        <v>25</v>
      </c>
      <c r="D81" s="6" t="s">
        <v>1</v>
      </c>
      <c r="E81" s="4" t="s">
        <v>96</v>
      </c>
      <c r="F81" s="6" t="s">
        <v>95</v>
      </c>
      <c r="G81" s="4">
        <v>212</v>
      </c>
      <c r="H81" s="2">
        <v>6.8</v>
      </c>
    </row>
    <row r="82" spans="1:8" ht="12.75">
      <c r="A82" s="15" t="s">
        <v>12</v>
      </c>
      <c r="B82" s="3" t="s">
        <v>63</v>
      </c>
      <c r="C82" s="5" t="s">
        <v>25</v>
      </c>
      <c r="D82" s="6" t="s">
        <v>1</v>
      </c>
      <c r="E82" s="4" t="s">
        <v>96</v>
      </c>
      <c r="F82" s="6" t="s">
        <v>95</v>
      </c>
      <c r="G82" s="4">
        <v>213</v>
      </c>
      <c r="H82" s="2">
        <v>70.2</v>
      </c>
    </row>
    <row r="83" spans="1:8" ht="12.75">
      <c r="A83" s="15" t="s">
        <v>13</v>
      </c>
      <c r="B83" s="3" t="s">
        <v>63</v>
      </c>
      <c r="C83" s="5" t="s">
        <v>25</v>
      </c>
      <c r="D83" s="6" t="s">
        <v>1</v>
      </c>
      <c r="E83" s="4" t="s">
        <v>96</v>
      </c>
      <c r="F83" s="6" t="s">
        <v>95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63</v>
      </c>
      <c r="C84" s="5" t="s">
        <v>25</v>
      </c>
      <c r="D84" s="6" t="s">
        <v>1</v>
      </c>
      <c r="E84" s="4" t="s">
        <v>96</v>
      </c>
      <c r="F84" s="6" t="s">
        <v>95</v>
      </c>
      <c r="G84" s="4">
        <v>221</v>
      </c>
      <c r="H84" s="2"/>
    </row>
    <row r="85" spans="1:8" ht="12.75">
      <c r="A85" s="15" t="s">
        <v>16</v>
      </c>
      <c r="B85" s="3" t="s">
        <v>63</v>
      </c>
      <c r="C85" s="5" t="s">
        <v>25</v>
      </c>
      <c r="D85" s="6" t="s">
        <v>1</v>
      </c>
      <c r="E85" s="4" t="s">
        <v>96</v>
      </c>
      <c r="F85" s="6" t="s">
        <v>95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63</v>
      </c>
      <c r="C86" s="5" t="s">
        <v>25</v>
      </c>
      <c r="D86" s="6" t="s">
        <v>1</v>
      </c>
      <c r="E86" s="4" t="s">
        <v>96</v>
      </c>
      <c r="F86" s="6" t="s">
        <v>95</v>
      </c>
      <c r="G86" s="4">
        <v>226</v>
      </c>
      <c r="H86" s="2"/>
    </row>
    <row r="87" spans="1:8" ht="12.75">
      <c r="A87" s="15" t="s">
        <v>20</v>
      </c>
      <c r="B87" s="3" t="s">
        <v>63</v>
      </c>
      <c r="C87" s="5" t="s">
        <v>25</v>
      </c>
      <c r="D87" s="6" t="s">
        <v>1</v>
      </c>
      <c r="E87" s="4" t="s">
        <v>96</v>
      </c>
      <c r="F87" s="6" t="s">
        <v>95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63</v>
      </c>
      <c r="C88" s="5" t="s">
        <v>25</v>
      </c>
      <c r="D88" s="6" t="s">
        <v>1</v>
      </c>
      <c r="E88" s="4" t="s">
        <v>96</v>
      </c>
      <c r="F88" s="6" t="s">
        <v>95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69</v>
      </c>
      <c r="B90" s="3" t="s">
        <v>63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70</v>
      </c>
      <c r="B91" s="3" t="s">
        <v>63</v>
      </c>
      <c r="C91" s="5" t="s">
        <v>6</v>
      </c>
      <c r="D91" s="3" t="s">
        <v>73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71</v>
      </c>
      <c r="B92" s="3" t="s">
        <v>63</v>
      </c>
      <c r="C92" s="5" t="s">
        <v>6</v>
      </c>
      <c r="D92" s="3" t="s">
        <v>73</v>
      </c>
      <c r="E92" s="5" t="s">
        <v>74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72</v>
      </c>
      <c r="B93" s="3" t="s">
        <v>63</v>
      </c>
      <c r="C93" s="5" t="s">
        <v>6</v>
      </c>
      <c r="D93" s="3" t="s">
        <v>73</v>
      </c>
      <c r="E93" s="5" t="s">
        <v>74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63</v>
      </c>
      <c r="C94" s="5" t="s">
        <v>6</v>
      </c>
      <c r="D94" s="3" t="s">
        <v>73</v>
      </c>
      <c r="E94" s="5" t="s">
        <v>74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75</v>
      </c>
      <c r="B96" s="3" t="s">
        <v>63</v>
      </c>
      <c r="C96" s="5" t="s">
        <v>73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79</v>
      </c>
      <c r="B97" s="3" t="s">
        <v>63</v>
      </c>
      <c r="C97" s="5" t="s">
        <v>73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76</v>
      </c>
      <c r="B98" s="3" t="s">
        <v>63</v>
      </c>
      <c r="C98" s="5" t="s">
        <v>73</v>
      </c>
      <c r="D98" s="3" t="s">
        <v>1</v>
      </c>
      <c r="E98" s="5" t="s">
        <v>78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77</v>
      </c>
      <c r="B99" s="3" t="s">
        <v>63</v>
      </c>
      <c r="C99" s="5" t="s">
        <v>73</v>
      </c>
      <c r="D99" s="3" t="s">
        <v>1</v>
      </c>
      <c r="E99" s="5" t="s">
        <v>78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63</v>
      </c>
      <c r="C100" s="5" t="s">
        <v>73</v>
      </c>
      <c r="D100" s="3" t="s">
        <v>1</v>
      </c>
      <c r="E100" s="5" t="s">
        <v>78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63</v>
      </c>
      <c r="C101" s="5" t="s">
        <v>73</v>
      </c>
      <c r="D101" s="3" t="s">
        <v>1</v>
      </c>
      <c r="E101" s="5" t="s">
        <v>78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63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63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63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62</v>
      </c>
      <c r="B106" s="3" t="s">
        <v>63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63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63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106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2" sqref="E2:K2"/>
    </sheetView>
  </sheetViews>
  <sheetFormatPr defaultColWidth="9.00390625" defaultRowHeight="12.75"/>
  <cols>
    <col min="1" max="1" width="41.125" style="0" customWidth="1"/>
    <col min="2" max="2" width="16.75390625" style="0" customWidth="1"/>
    <col min="3" max="3" width="13.125" style="0" customWidth="1"/>
    <col min="4" max="4" width="11.00390625" style="0" customWidth="1"/>
    <col min="5" max="5" width="16.00390625" style="0" customWidth="1"/>
    <col min="6" max="6" width="11.375" style="0" customWidth="1"/>
    <col min="7" max="7" width="13.00390625" style="0" customWidth="1"/>
    <col min="8" max="8" width="17.625" style="0" customWidth="1"/>
    <col min="9" max="9" width="12.125" style="0" customWidth="1"/>
    <col min="10" max="10" width="11.625" style="0" customWidth="1"/>
    <col min="11" max="11" width="17.375" style="0" customWidth="1"/>
  </cols>
  <sheetData>
    <row r="1" spans="9:11" ht="12.75">
      <c r="I1" s="321" t="s">
        <v>477</v>
      </c>
      <c r="J1" s="321"/>
      <c r="K1" s="321"/>
    </row>
    <row r="2" spans="1:11" ht="37.5" customHeight="1">
      <c r="A2" s="31"/>
      <c r="B2" s="31"/>
      <c r="C2" s="31"/>
      <c r="D2" s="31"/>
      <c r="E2" s="323" t="s">
        <v>497</v>
      </c>
      <c r="F2" s="323"/>
      <c r="G2" s="323"/>
      <c r="H2" s="323"/>
      <c r="I2" s="323"/>
      <c r="J2" s="323"/>
      <c r="K2" s="323"/>
    </row>
    <row r="5" spans="1:11" ht="37.5" customHeight="1">
      <c r="A5" s="322" t="s">
        <v>475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1:11" ht="15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5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6" t="s">
        <v>478</v>
      </c>
    </row>
    <row r="8" spans="1:11" ht="93" customHeight="1">
      <c r="A8" s="227" t="s">
        <v>465</v>
      </c>
      <c r="B8" s="228" t="s">
        <v>466</v>
      </c>
      <c r="C8" s="229" t="s">
        <v>399</v>
      </c>
      <c r="D8" s="229" t="s">
        <v>400</v>
      </c>
      <c r="E8" s="228" t="s">
        <v>467</v>
      </c>
      <c r="F8" s="229" t="s">
        <v>402</v>
      </c>
      <c r="G8" s="229" t="s">
        <v>403</v>
      </c>
      <c r="H8" s="228" t="s">
        <v>468</v>
      </c>
      <c r="I8" s="229" t="s">
        <v>460</v>
      </c>
      <c r="J8" s="229" t="s">
        <v>461</v>
      </c>
      <c r="K8" s="228" t="s">
        <v>469</v>
      </c>
    </row>
    <row r="9" spans="1:11" ht="15.75">
      <c r="A9" s="230" t="s">
        <v>397</v>
      </c>
      <c r="B9" s="231">
        <f>B11+B13</f>
        <v>0</v>
      </c>
      <c r="C9" s="245">
        <f aca="true" t="shared" si="0" ref="C9:K9">C11+C13</f>
        <v>1417028.95</v>
      </c>
      <c r="D9" s="232">
        <f t="shared" si="0"/>
        <v>0</v>
      </c>
      <c r="E9" s="246">
        <f t="shared" si="0"/>
        <v>1417028.95</v>
      </c>
      <c r="F9" s="245">
        <f t="shared" si="0"/>
        <v>1519676.95</v>
      </c>
      <c r="G9" s="245">
        <f t="shared" si="0"/>
        <v>1417028.95</v>
      </c>
      <c r="H9" s="246">
        <f t="shared" si="0"/>
        <v>1519676.95</v>
      </c>
      <c r="I9" s="232">
        <f t="shared" si="0"/>
        <v>211419</v>
      </c>
      <c r="J9" s="232">
        <f t="shared" si="0"/>
        <v>102648</v>
      </c>
      <c r="K9" s="246">
        <f t="shared" si="0"/>
        <v>1628447.95</v>
      </c>
    </row>
    <row r="10" spans="1:11" ht="15.75">
      <c r="A10" s="233" t="s">
        <v>398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1" ht="42.75" customHeight="1">
      <c r="A11" s="228" t="s">
        <v>470</v>
      </c>
      <c r="B11" s="234">
        <v>0</v>
      </c>
      <c r="C11" s="244">
        <f>'дох.3'!D47</f>
        <v>1417028.95</v>
      </c>
      <c r="D11" s="235">
        <v>0</v>
      </c>
      <c r="E11" s="247">
        <f>B11+C11-D11</f>
        <v>1417028.95</v>
      </c>
      <c r="F11" s="244">
        <f>'дох.3'!D47+'дох.3'!E47</f>
        <v>1519676.95</v>
      </c>
      <c r="G11" s="244">
        <f>C11</f>
        <v>1417028.95</v>
      </c>
      <c r="H11" s="247">
        <f>E11+F11-G11</f>
        <v>1519676.95</v>
      </c>
      <c r="I11" s="244">
        <f>'дох.3'!E47+'дох.3'!F47</f>
        <v>211419</v>
      </c>
      <c r="J11" s="244">
        <f>'дох.3'!E47</f>
        <v>102648</v>
      </c>
      <c r="K11" s="247">
        <f>H11+I11-J11</f>
        <v>1628447.95</v>
      </c>
    </row>
    <row r="12" spans="1:11" ht="63">
      <c r="A12" s="233" t="s">
        <v>471</v>
      </c>
      <c r="B12" s="236" t="s">
        <v>476</v>
      </c>
      <c r="C12" s="233"/>
      <c r="D12" s="233"/>
      <c r="E12" s="236" t="s">
        <v>476</v>
      </c>
      <c r="F12" s="233"/>
      <c r="G12" s="233"/>
      <c r="H12" s="236" t="s">
        <v>476</v>
      </c>
      <c r="I12" s="233"/>
      <c r="J12" s="233"/>
      <c r="K12" s="236" t="s">
        <v>476</v>
      </c>
    </row>
    <row r="13" spans="1:11" ht="63">
      <c r="A13" s="228" t="s">
        <v>472</v>
      </c>
      <c r="B13" s="237">
        <v>0</v>
      </c>
      <c r="C13" s="238">
        <v>0</v>
      </c>
      <c r="D13" s="235">
        <v>0</v>
      </c>
      <c r="E13" s="237">
        <f>B13+C13-D13</f>
        <v>0</v>
      </c>
      <c r="F13" s="238">
        <v>0</v>
      </c>
      <c r="G13" s="235">
        <v>0</v>
      </c>
      <c r="H13" s="237">
        <f>E13+F13-G13</f>
        <v>0</v>
      </c>
      <c r="I13" s="238">
        <v>0</v>
      </c>
      <c r="J13" s="235">
        <v>0</v>
      </c>
      <c r="K13" s="237">
        <f>H13+I13-J13</f>
        <v>0</v>
      </c>
    </row>
    <row r="14" spans="1:11" ht="31.5">
      <c r="A14" s="233" t="s">
        <v>473</v>
      </c>
      <c r="B14" s="233"/>
      <c r="C14" s="233"/>
      <c r="D14" s="233"/>
      <c r="E14" s="233"/>
      <c r="F14" s="233"/>
      <c r="G14" s="233"/>
      <c r="H14" s="233"/>
      <c r="I14" s="239"/>
      <c r="J14" s="239"/>
      <c r="K14" s="233"/>
    </row>
    <row r="15" spans="1:11" ht="63">
      <c r="A15" s="229" t="s">
        <v>471</v>
      </c>
      <c r="B15" s="240" t="s">
        <v>474</v>
      </c>
      <c r="C15" s="229"/>
      <c r="D15" s="229"/>
      <c r="E15" s="240" t="s">
        <v>474</v>
      </c>
      <c r="F15" s="229"/>
      <c r="G15" s="229"/>
      <c r="H15" s="240" t="s">
        <v>474</v>
      </c>
      <c r="I15" s="240"/>
      <c r="J15" s="240"/>
      <c r="K15" s="240" t="s">
        <v>474</v>
      </c>
    </row>
  </sheetData>
  <sheetProtection/>
  <mergeCells count="3">
    <mergeCell ref="I1:K1"/>
    <mergeCell ref="A5:K5"/>
    <mergeCell ref="E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Oloy</cp:lastModifiedBy>
  <cp:lastPrinted>2022-03-01T05:00:29Z</cp:lastPrinted>
  <dcterms:created xsi:type="dcterms:W3CDTF">2005-12-27T06:54:28Z</dcterms:created>
  <dcterms:modified xsi:type="dcterms:W3CDTF">2022-03-14T03:39:56Z</dcterms:modified>
  <cp:category/>
  <cp:version/>
  <cp:contentType/>
  <cp:contentStatus/>
</cp:coreProperties>
</file>